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ngidi\Documents\NATIONAL TREASURY 2021 2022\"/>
    </mc:Choice>
  </mc:AlternateContent>
  <xr:revisionPtr revIDLastSave="0" documentId="13_ncr:1_{DF991BBE-09E1-402A-9FA1-65BBB07C589F}" xr6:coauthVersionLast="46" xr6:coauthVersionMax="46" xr10:uidLastSave="{00000000-0000-0000-0000-000000000000}"/>
  <bookViews>
    <workbookView xWindow="-110" yWindow="-110" windowWidth="19420" windowHeight="10420" tabRatio="749" activeTab="1" xr2:uid="{00000000-000D-0000-FFFF-FFFF00000000}"/>
  </bookViews>
  <sheets>
    <sheet name="FINANCE" sheetId="1" r:id="rId1"/>
    <sheet name="MUNICIPAL MANAGER" sheetId="2" r:id="rId2"/>
    <sheet name="COMMUNITY SERVICES" sheetId="3" r:id="rId3"/>
    <sheet name="OPEX WHOLE M" sheetId="11" state="hidden" r:id="rId4"/>
    <sheet name="CORPORATE SERVICES" sheetId="4" r:id="rId5"/>
    <sheet name="EXECUTIVE COUNCIL" sheetId="5" r:id="rId6"/>
    <sheet name="Sheet1" sheetId="12" state="hidden" r:id="rId7"/>
    <sheet name="EDP" sheetId="6" r:id="rId8"/>
    <sheet name="TECHNICAL SERVICES" sheetId="7" r:id="rId9"/>
    <sheet name="2021 2022 DRAFT BUDGET SUMMARY" sheetId="8" r:id="rId10"/>
    <sheet name="2022 2023  OUTER ONE SUMMARY" sheetId="9" r:id="rId11"/>
    <sheet name="2023 2024 OUTER TWO SUMMARY" sheetId="10" r:id="rId12"/>
  </sheets>
  <definedNames>
    <definedName name="_xlnm.Print_Area" localSheetId="9">'2021 2022 DRAFT BUDGET SUMMARY'!$A$1:$J$29</definedName>
    <definedName name="_xlnm.Print_Area" localSheetId="10">'2022 2023  OUTER ONE SUMMARY'!$A$1:$I$32</definedName>
    <definedName name="_xlnm.Print_Area" localSheetId="11">'2023 2024 OUTER TWO SUMMARY'!$A$1:$I$30</definedName>
    <definedName name="_xlnm.Print_Area" localSheetId="2">'COMMUNITY SERVICES'!$A$2:$L$245</definedName>
    <definedName name="_xlnm.Print_Area" localSheetId="4">'CORPORATE SERVICES'!$A$2:$L$195</definedName>
    <definedName name="_xlnm.Print_Area" localSheetId="7">EDP!$A$2:$L$136</definedName>
    <definedName name="_xlnm.Print_Area" localSheetId="5">'EXECUTIVE COUNCIL'!$A$2:$L$45</definedName>
    <definedName name="_xlnm.Print_Area" localSheetId="0">FINANCE!$A$2:$L$157</definedName>
    <definedName name="_xlnm.Print_Area" localSheetId="1">'MUNICIPAL MANAGER'!$A$2:$L$450</definedName>
    <definedName name="_xlnm.Print_Area" localSheetId="8">'TECHNICAL SERVICES'!$A$2:$L$122</definedName>
    <definedName name="_xlnm.Print_Titles" localSheetId="9">'2021 2022 DRAFT BUDGET SUMMARY'!$1:$2</definedName>
    <definedName name="_xlnm.Print_Titles" localSheetId="10">'2022 2023  OUTER ONE SUMMARY'!$1:$2</definedName>
    <definedName name="_xlnm.Print_Titles" localSheetId="11">'2023 2024 OUTER TWO SUMMARY'!$2:$2</definedName>
    <definedName name="_xlnm.Print_Titles" localSheetId="2">'COMMUNITY SERVICES'!$2:$3</definedName>
    <definedName name="_xlnm.Print_Titles" localSheetId="4">'CORPORATE SERVICES'!$2:$3</definedName>
    <definedName name="_xlnm.Print_Titles" localSheetId="7">EDP!$2:$3</definedName>
    <definedName name="_xlnm.Print_Titles" localSheetId="5">'EXECUTIVE COUNCIL'!$2:$3</definedName>
    <definedName name="_xlnm.Print_Titles" localSheetId="0">FINANCE!$2:$3</definedName>
    <definedName name="_xlnm.Print_Titles" localSheetId="1">'MUNICIPAL MANAGER'!$2:$3</definedName>
    <definedName name="_xlnm.Print_Titles" localSheetId="8">'TECHNICAL SERVICES'!$2:$3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215" i="2" l="1"/>
  <c r="K215" i="2" l="1"/>
  <c r="K85" i="1" l="1"/>
  <c r="L85" i="1" l="1"/>
  <c r="J188" i="2" l="1"/>
  <c r="J445" i="2"/>
  <c r="J68" i="6"/>
  <c r="J89" i="6" s="1"/>
  <c r="J120" i="6"/>
  <c r="M373" i="2"/>
  <c r="N373" i="2"/>
  <c r="O373" i="2"/>
  <c r="N120" i="4"/>
  <c r="O120" i="4"/>
  <c r="M120" i="4"/>
  <c r="J22" i="5" l="1"/>
  <c r="K103" i="7"/>
  <c r="L103" i="7" s="1"/>
  <c r="K102" i="7"/>
  <c r="L102" i="7" s="1"/>
  <c r="K101" i="7"/>
  <c r="L101" i="7" s="1"/>
  <c r="K100" i="7"/>
  <c r="L100" i="7" s="1"/>
  <c r="K99" i="7"/>
  <c r="L99" i="7" s="1"/>
  <c r="K98" i="7"/>
  <c r="L98" i="7" s="1"/>
  <c r="K97" i="7"/>
  <c r="L97" i="7" s="1"/>
  <c r="K96" i="7"/>
  <c r="L96" i="7" s="1"/>
  <c r="K95" i="7"/>
  <c r="L95" i="7" s="1"/>
  <c r="K94" i="7"/>
  <c r="L94" i="7" s="1"/>
  <c r="K93" i="7"/>
  <c r="L93" i="7" s="1"/>
  <c r="K92" i="7"/>
  <c r="L92" i="7" s="1"/>
  <c r="K91" i="7"/>
  <c r="L91" i="7" s="1"/>
  <c r="K90" i="7"/>
  <c r="L90" i="7" s="1"/>
  <c r="K75" i="7"/>
  <c r="L75" i="7" s="1"/>
  <c r="K74" i="7"/>
  <c r="L74" i="7" s="1"/>
  <c r="K73" i="7"/>
  <c r="L73" i="7" s="1"/>
  <c r="K68" i="7"/>
  <c r="L68" i="7" s="1"/>
  <c r="K67" i="7"/>
  <c r="L67" i="7" s="1"/>
  <c r="K66" i="7"/>
  <c r="L66" i="7" s="1"/>
  <c r="K65" i="7"/>
  <c r="L65" i="7" s="1"/>
  <c r="K64" i="7"/>
  <c r="L64" i="7" s="1"/>
  <c r="K63" i="7"/>
  <c r="L63" i="7" s="1"/>
  <c r="K62" i="7"/>
  <c r="L62" i="7" s="1"/>
  <c r="K61" i="7"/>
  <c r="L61" i="7" s="1"/>
  <c r="K60" i="7"/>
  <c r="L60" i="7" s="1"/>
  <c r="K59" i="7"/>
  <c r="L59" i="7" s="1"/>
  <c r="K58" i="7"/>
  <c r="L58" i="7" s="1"/>
  <c r="K57" i="7"/>
  <c r="L57" i="7" s="1"/>
  <c r="K56" i="7"/>
  <c r="L56" i="7" s="1"/>
  <c r="K55" i="7"/>
  <c r="L55" i="7" s="1"/>
  <c r="K54" i="7"/>
  <c r="L54" i="7" s="1"/>
  <c r="K53" i="7"/>
  <c r="L53" i="7" s="1"/>
  <c r="K52" i="7"/>
  <c r="L52" i="7" s="1"/>
  <c r="K51" i="7"/>
  <c r="L51" i="7" s="1"/>
  <c r="K50" i="7"/>
  <c r="L50" i="7" s="1"/>
  <c r="K49" i="7"/>
  <c r="L49" i="7" s="1"/>
  <c r="K45" i="7"/>
  <c r="L45" i="7" s="1"/>
  <c r="K44" i="7"/>
  <c r="L44" i="7" s="1"/>
  <c r="K43" i="7"/>
  <c r="L43" i="7" s="1"/>
  <c r="K42" i="7"/>
  <c r="L42" i="7" s="1"/>
  <c r="K41" i="7"/>
  <c r="L41" i="7" s="1"/>
  <c r="L40" i="7"/>
  <c r="K40" i="7"/>
  <c r="K39" i="7"/>
  <c r="L39" i="7" s="1"/>
  <c r="K38" i="7"/>
  <c r="L38" i="7" s="1"/>
  <c r="L37" i="7"/>
  <c r="K37" i="7"/>
  <c r="K36" i="7"/>
  <c r="L36" i="7" s="1"/>
  <c r="K35" i="7"/>
  <c r="L35" i="7" s="1"/>
  <c r="K34" i="7"/>
  <c r="L34" i="7" s="1"/>
  <c r="K33" i="7"/>
  <c r="L33" i="7" s="1"/>
  <c r="K32" i="7"/>
  <c r="L32" i="7" s="1"/>
  <c r="K31" i="7"/>
  <c r="L31" i="7" s="1"/>
  <c r="K30" i="7"/>
  <c r="L30" i="7" s="1"/>
  <c r="K29" i="7"/>
  <c r="L29" i="7" s="1"/>
  <c r="L28" i="7"/>
  <c r="K28" i="7"/>
  <c r="K27" i="7"/>
  <c r="L27" i="7" s="1"/>
  <c r="K26" i="7"/>
  <c r="L26" i="7" s="1"/>
  <c r="K25" i="7"/>
  <c r="L25" i="7" s="1"/>
  <c r="K24" i="7"/>
  <c r="L24" i="7" s="1"/>
  <c r="K23" i="7"/>
  <c r="L23" i="7" s="1"/>
  <c r="K22" i="7"/>
  <c r="L22" i="7" s="1"/>
  <c r="K21" i="7"/>
  <c r="L21" i="7" s="1"/>
  <c r="K20" i="7"/>
  <c r="L20" i="7" s="1"/>
  <c r="K19" i="7"/>
  <c r="L19" i="7" s="1"/>
  <c r="K18" i="7"/>
  <c r="L18" i="7" s="1"/>
  <c r="K17" i="7"/>
  <c r="L17" i="7" s="1"/>
  <c r="K16" i="7"/>
  <c r="L16" i="7" s="1"/>
  <c r="K15" i="7"/>
  <c r="L15" i="7" s="1"/>
  <c r="K119" i="6"/>
  <c r="L119" i="6" s="1"/>
  <c r="K118" i="6"/>
  <c r="L118" i="6" s="1"/>
  <c r="K117" i="6"/>
  <c r="L117" i="6" s="1"/>
  <c r="K116" i="6"/>
  <c r="L116" i="6" s="1"/>
  <c r="K115" i="6"/>
  <c r="L115" i="6" s="1"/>
  <c r="K114" i="6"/>
  <c r="L114" i="6" s="1"/>
  <c r="K113" i="6"/>
  <c r="L113" i="6" s="1"/>
  <c r="K112" i="6"/>
  <c r="L112" i="6" s="1"/>
  <c r="K111" i="6"/>
  <c r="L111" i="6" s="1"/>
  <c r="K110" i="6"/>
  <c r="L110" i="6" s="1"/>
  <c r="K109" i="6"/>
  <c r="L109" i="6" s="1"/>
  <c r="K108" i="6"/>
  <c r="L108" i="6" s="1"/>
  <c r="L107" i="6"/>
  <c r="K107" i="6"/>
  <c r="K106" i="6"/>
  <c r="L106" i="6" s="1"/>
  <c r="K105" i="6"/>
  <c r="L105" i="6" s="1"/>
  <c r="K104" i="6"/>
  <c r="L104" i="6" s="1"/>
  <c r="K103" i="6"/>
  <c r="L103" i="6" s="1"/>
  <c r="K102" i="6"/>
  <c r="L102" i="6" s="1"/>
  <c r="K101" i="6"/>
  <c r="L101" i="6" s="1"/>
  <c r="L100" i="6"/>
  <c r="K100" i="6"/>
  <c r="K99" i="6"/>
  <c r="L99" i="6" s="1"/>
  <c r="K98" i="6"/>
  <c r="L98" i="6" s="1"/>
  <c r="K97" i="6"/>
  <c r="L97" i="6" s="1"/>
  <c r="L96" i="6"/>
  <c r="K96" i="6"/>
  <c r="L95" i="6"/>
  <c r="K95" i="6"/>
  <c r="K94" i="6"/>
  <c r="L94" i="6" s="1"/>
  <c r="K86" i="6"/>
  <c r="L86" i="6" s="1"/>
  <c r="K85" i="6"/>
  <c r="L85" i="6" s="1"/>
  <c r="K84" i="6"/>
  <c r="L84" i="6" s="1"/>
  <c r="K83" i="6"/>
  <c r="L83" i="6" s="1"/>
  <c r="K82" i="6"/>
  <c r="L82" i="6" s="1"/>
  <c r="K81" i="6"/>
  <c r="L81" i="6" s="1"/>
  <c r="K80" i="6"/>
  <c r="L80" i="6" s="1"/>
  <c r="K79" i="6"/>
  <c r="L79" i="6" s="1"/>
  <c r="K78" i="6"/>
  <c r="L78" i="6" s="1"/>
  <c r="K77" i="6"/>
  <c r="L77" i="6" s="1"/>
  <c r="K76" i="6"/>
  <c r="L76" i="6" s="1"/>
  <c r="K75" i="6"/>
  <c r="L75" i="6" s="1"/>
  <c r="K74" i="6"/>
  <c r="L74" i="6" s="1"/>
  <c r="K73" i="6"/>
  <c r="L73" i="6" s="1"/>
  <c r="K72" i="6"/>
  <c r="L72" i="6" s="1"/>
  <c r="K71" i="6"/>
  <c r="L71" i="6" s="1"/>
  <c r="K67" i="6"/>
  <c r="L67" i="6" s="1"/>
  <c r="K66" i="6"/>
  <c r="L66" i="6" s="1"/>
  <c r="K65" i="6"/>
  <c r="L65" i="6" s="1"/>
  <c r="K64" i="6"/>
  <c r="L64" i="6" s="1"/>
  <c r="K63" i="6"/>
  <c r="L63" i="6" s="1"/>
  <c r="K62" i="6"/>
  <c r="L62" i="6" s="1"/>
  <c r="K61" i="6"/>
  <c r="L61" i="6" s="1"/>
  <c r="K60" i="6"/>
  <c r="L60" i="6" s="1"/>
  <c r="K59" i="6"/>
  <c r="L59" i="6" s="1"/>
  <c r="K58" i="6"/>
  <c r="L58" i="6" s="1"/>
  <c r="K57" i="6"/>
  <c r="L57" i="6" s="1"/>
  <c r="K56" i="6"/>
  <c r="L56" i="6" s="1"/>
  <c r="K55" i="6"/>
  <c r="L55" i="6" s="1"/>
  <c r="K54" i="6"/>
  <c r="L54" i="6" s="1"/>
  <c r="K53" i="6"/>
  <c r="L53" i="6" s="1"/>
  <c r="K52" i="6"/>
  <c r="L52" i="6" s="1"/>
  <c r="K51" i="6"/>
  <c r="L51" i="6" s="1"/>
  <c r="K50" i="6"/>
  <c r="L50" i="6" s="1"/>
  <c r="K49" i="6"/>
  <c r="L49" i="6" s="1"/>
  <c r="K48" i="6"/>
  <c r="L48" i="6" s="1"/>
  <c r="K47" i="6"/>
  <c r="L47" i="6" s="1"/>
  <c r="L46" i="6"/>
  <c r="K46" i="6"/>
  <c r="K45" i="6"/>
  <c r="L45" i="6" s="1"/>
  <c r="K44" i="6"/>
  <c r="L44" i="6" s="1"/>
  <c r="K43" i="6"/>
  <c r="L43" i="6" s="1"/>
  <c r="K42" i="6"/>
  <c r="L42" i="6" s="1"/>
  <c r="K41" i="6"/>
  <c r="L41" i="6" s="1"/>
  <c r="K40" i="6"/>
  <c r="L40" i="6" s="1"/>
  <c r="K39" i="6"/>
  <c r="L39" i="6" s="1"/>
  <c r="L38" i="6"/>
  <c r="K38" i="6"/>
  <c r="K37" i="6"/>
  <c r="L37" i="6" s="1"/>
  <c r="K36" i="6"/>
  <c r="L36" i="6" s="1"/>
  <c r="K35" i="6"/>
  <c r="L35" i="6" s="1"/>
  <c r="K33" i="6"/>
  <c r="L33" i="6" s="1"/>
  <c r="K32" i="6"/>
  <c r="L32" i="6" s="1"/>
  <c r="K31" i="6"/>
  <c r="L31" i="6" s="1"/>
  <c r="K30" i="6"/>
  <c r="L30" i="6" s="1"/>
  <c r="K29" i="6"/>
  <c r="L29" i="6" s="1"/>
  <c r="K28" i="6"/>
  <c r="L28" i="6" s="1"/>
  <c r="K27" i="6"/>
  <c r="L27" i="6" s="1"/>
  <c r="K26" i="6"/>
  <c r="L26" i="6" s="1"/>
  <c r="L25" i="6"/>
  <c r="K25" i="6"/>
  <c r="K24" i="6"/>
  <c r="L24" i="6" s="1"/>
  <c r="K23" i="6"/>
  <c r="L23" i="6" s="1"/>
  <c r="K22" i="6"/>
  <c r="L22" i="6" s="1"/>
  <c r="K21" i="6"/>
  <c r="L21" i="6" s="1"/>
  <c r="K20" i="6"/>
  <c r="L20" i="6" s="1"/>
  <c r="K19" i="6"/>
  <c r="L19" i="6" s="1"/>
  <c r="K18" i="6"/>
  <c r="L18" i="6" s="1"/>
  <c r="K17" i="6"/>
  <c r="L17" i="6" s="1"/>
  <c r="K16" i="6"/>
  <c r="L16" i="6" s="1"/>
  <c r="K15" i="6"/>
  <c r="L15" i="6" s="1"/>
  <c r="K14" i="6"/>
  <c r="L14" i="6" s="1"/>
  <c r="K13" i="6"/>
  <c r="L13" i="6" s="1"/>
  <c r="K12" i="6"/>
  <c r="L12" i="6" s="1"/>
  <c r="K11" i="6"/>
  <c r="L11" i="6" s="1"/>
  <c r="K10" i="6"/>
  <c r="L10" i="6" s="1"/>
  <c r="K9" i="6"/>
  <c r="L9" i="6" s="1"/>
  <c r="K8" i="6"/>
  <c r="L8" i="6" s="1"/>
  <c r="K40" i="5"/>
  <c r="L40" i="5" s="1"/>
  <c r="K39" i="5"/>
  <c r="L39" i="5" s="1"/>
  <c r="K38" i="5"/>
  <c r="L38" i="5" s="1"/>
  <c r="K37" i="5"/>
  <c r="L37" i="5" s="1"/>
  <c r="K36" i="5"/>
  <c r="L36" i="5" s="1"/>
  <c r="K35" i="5"/>
  <c r="L35" i="5" s="1"/>
  <c r="K34" i="5"/>
  <c r="L34" i="5" s="1"/>
  <c r="K33" i="5"/>
  <c r="L33" i="5" s="1"/>
  <c r="K32" i="5"/>
  <c r="L32" i="5" s="1"/>
  <c r="K31" i="5"/>
  <c r="L31" i="5" s="1"/>
  <c r="K30" i="5"/>
  <c r="L30" i="5" s="1"/>
  <c r="K29" i="5"/>
  <c r="L29" i="5" s="1"/>
  <c r="K28" i="5"/>
  <c r="L28" i="5" s="1"/>
  <c r="K27" i="5"/>
  <c r="L27" i="5" s="1"/>
  <c r="K26" i="5"/>
  <c r="L26" i="5" s="1"/>
  <c r="K25" i="5"/>
  <c r="L25" i="5" s="1"/>
  <c r="K24" i="5"/>
  <c r="L24" i="5" s="1"/>
  <c r="K23" i="5"/>
  <c r="L23" i="5" s="1"/>
  <c r="K22" i="5"/>
  <c r="L22" i="5" s="1"/>
  <c r="K21" i="5"/>
  <c r="L21" i="5" s="1"/>
  <c r="L17" i="5"/>
  <c r="K17" i="5"/>
  <c r="K16" i="5"/>
  <c r="L16" i="5" s="1"/>
  <c r="L15" i="5"/>
  <c r="K15" i="5"/>
  <c r="K14" i="5"/>
  <c r="L14" i="5" s="1"/>
  <c r="L13" i="5"/>
  <c r="K13" i="5"/>
  <c r="K12" i="5"/>
  <c r="L12" i="5" s="1"/>
  <c r="K11" i="5"/>
  <c r="L11" i="5" s="1"/>
  <c r="K10" i="5"/>
  <c r="L10" i="5" s="1"/>
  <c r="L9" i="5"/>
  <c r="K9" i="5"/>
  <c r="K8" i="5"/>
  <c r="L8" i="5" s="1"/>
  <c r="L7" i="5"/>
  <c r="K7" i="5"/>
  <c r="J191" i="4"/>
  <c r="K191" i="4"/>
  <c r="L191" i="4"/>
  <c r="K175" i="4"/>
  <c r="L175" i="4" s="1"/>
  <c r="K174" i="4"/>
  <c r="L174" i="4" s="1"/>
  <c r="K173" i="4"/>
  <c r="L173" i="4" s="1"/>
  <c r="K151" i="4"/>
  <c r="L151" i="4" s="1"/>
  <c r="K150" i="4"/>
  <c r="L150" i="4" s="1"/>
  <c r="K149" i="4"/>
  <c r="L149" i="4" s="1"/>
  <c r="K148" i="4"/>
  <c r="L148" i="4" s="1"/>
  <c r="K147" i="4"/>
  <c r="L147" i="4" s="1"/>
  <c r="K146" i="4"/>
  <c r="L146" i="4" s="1"/>
  <c r="K145" i="4"/>
  <c r="L145" i="4" s="1"/>
  <c r="K144" i="4"/>
  <c r="L144" i="4" s="1"/>
  <c r="K143" i="4"/>
  <c r="L143" i="4" s="1"/>
  <c r="K142" i="4"/>
  <c r="L142" i="4" s="1"/>
  <c r="K141" i="4"/>
  <c r="L141" i="4" s="1"/>
  <c r="K140" i="4"/>
  <c r="L140" i="4" s="1"/>
  <c r="K139" i="4"/>
  <c r="L139" i="4" s="1"/>
  <c r="K138" i="4"/>
  <c r="L138" i="4" s="1"/>
  <c r="K137" i="4"/>
  <c r="L137" i="4" s="1"/>
  <c r="K136" i="4"/>
  <c r="L136" i="4" s="1"/>
  <c r="K135" i="4"/>
  <c r="L135" i="4" s="1"/>
  <c r="K134" i="4"/>
  <c r="L134" i="4" s="1"/>
  <c r="K133" i="4"/>
  <c r="L133" i="4" s="1"/>
  <c r="K132" i="4"/>
  <c r="L132" i="4" s="1"/>
  <c r="K131" i="4"/>
  <c r="L131" i="4" s="1"/>
  <c r="K130" i="4"/>
  <c r="L130" i="4" s="1"/>
  <c r="K129" i="4"/>
  <c r="L129" i="4" s="1"/>
  <c r="K128" i="4"/>
  <c r="L128" i="4" s="1"/>
  <c r="K127" i="4"/>
  <c r="L127" i="4" s="1"/>
  <c r="K126" i="4"/>
  <c r="L126" i="4" s="1"/>
  <c r="K125" i="4"/>
  <c r="L125" i="4" s="1"/>
  <c r="K124" i="4"/>
  <c r="L124" i="4" s="1"/>
  <c r="K123" i="4"/>
  <c r="L123" i="4" s="1"/>
  <c r="K122" i="4"/>
  <c r="L122" i="4" s="1"/>
  <c r="K121" i="4"/>
  <c r="L121" i="4" s="1"/>
  <c r="K120" i="4"/>
  <c r="L120" i="4" s="1"/>
  <c r="K119" i="4"/>
  <c r="L119" i="4" s="1"/>
  <c r="K118" i="4"/>
  <c r="L118" i="4" s="1"/>
  <c r="K117" i="4"/>
  <c r="L117" i="4" s="1"/>
  <c r="K116" i="4"/>
  <c r="L116" i="4" s="1"/>
  <c r="K115" i="4"/>
  <c r="L115" i="4" s="1"/>
  <c r="K114" i="4"/>
  <c r="L114" i="4" s="1"/>
  <c r="K90" i="4"/>
  <c r="L90" i="4" s="1"/>
  <c r="K89" i="4"/>
  <c r="L89" i="4" s="1"/>
  <c r="L88" i="4"/>
  <c r="K88" i="4"/>
  <c r="K87" i="4"/>
  <c r="L87" i="4" s="1"/>
  <c r="K86" i="4"/>
  <c r="L86" i="4" s="1"/>
  <c r="K85" i="4"/>
  <c r="L85" i="4" s="1"/>
  <c r="L84" i="4"/>
  <c r="K84" i="4"/>
  <c r="K83" i="4"/>
  <c r="L83" i="4" s="1"/>
  <c r="K82" i="4"/>
  <c r="L82" i="4" s="1"/>
  <c r="K81" i="4"/>
  <c r="L81" i="4" s="1"/>
  <c r="L80" i="4"/>
  <c r="K80" i="4"/>
  <c r="K79" i="4"/>
  <c r="L79" i="4" s="1"/>
  <c r="K70" i="4"/>
  <c r="L70" i="4" s="1"/>
  <c r="K66" i="4"/>
  <c r="L66" i="4" s="1"/>
  <c r="K65" i="4"/>
  <c r="L65" i="4" s="1"/>
  <c r="K64" i="4"/>
  <c r="L64" i="4" s="1"/>
  <c r="K63" i="4"/>
  <c r="L63" i="4" s="1"/>
  <c r="K62" i="4"/>
  <c r="L62" i="4" s="1"/>
  <c r="K61" i="4"/>
  <c r="L61" i="4" s="1"/>
  <c r="K60" i="4"/>
  <c r="L60" i="4" s="1"/>
  <c r="K59" i="4"/>
  <c r="L59" i="4" s="1"/>
  <c r="K58" i="4"/>
  <c r="L58" i="4" s="1"/>
  <c r="K57" i="4"/>
  <c r="L57" i="4" s="1"/>
  <c r="K56" i="4"/>
  <c r="L56" i="4" s="1"/>
  <c r="K55" i="4"/>
  <c r="L55" i="4" s="1"/>
  <c r="K54" i="4"/>
  <c r="L54" i="4" s="1"/>
  <c r="K53" i="4"/>
  <c r="L53" i="4" s="1"/>
  <c r="K52" i="4"/>
  <c r="L52" i="4" s="1"/>
  <c r="K51" i="4"/>
  <c r="L51" i="4" s="1"/>
  <c r="K47" i="4"/>
  <c r="L47" i="4" s="1"/>
  <c r="K46" i="4"/>
  <c r="L46" i="4" s="1"/>
  <c r="K44" i="4"/>
  <c r="L44" i="4" s="1"/>
  <c r="K43" i="4"/>
  <c r="L43" i="4" s="1"/>
  <c r="K42" i="4"/>
  <c r="L42" i="4" s="1"/>
  <c r="K41" i="4"/>
  <c r="L41" i="4" s="1"/>
  <c r="K40" i="4"/>
  <c r="L40" i="4" s="1"/>
  <c r="K39" i="4"/>
  <c r="L39" i="4" s="1"/>
  <c r="K38" i="4"/>
  <c r="L38" i="4" s="1"/>
  <c r="K37" i="4"/>
  <c r="L37" i="4" s="1"/>
  <c r="K36" i="4"/>
  <c r="L36" i="4" s="1"/>
  <c r="K35" i="4"/>
  <c r="L35" i="4" s="1"/>
  <c r="K34" i="4"/>
  <c r="L34" i="4" s="1"/>
  <c r="K33" i="4"/>
  <c r="L33" i="4" s="1"/>
  <c r="K32" i="4"/>
  <c r="L32" i="4" s="1"/>
  <c r="K31" i="4"/>
  <c r="L31" i="4" s="1"/>
  <c r="K30" i="4"/>
  <c r="L30" i="4" s="1"/>
  <c r="K29" i="4"/>
  <c r="L29" i="4" s="1"/>
  <c r="K28" i="4"/>
  <c r="L28" i="4" s="1"/>
  <c r="K27" i="4"/>
  <c r="L27" i="4" s="1"/>
  <c r="K26" i="4"/>
  <c r="L26" i="4" s="1"/>
  <c r="K25" i="4"/>
  <c r="L25" i="4" s="1"/>
  <c r="K24" i="4"/>
  <c r="L24" i="4" s="1"/>
  <c r="K23" i="4"/>
  <c r="L23" i="4" s="1"/>
  <c r="K22" i="4"/>
  <c r="L22" i="4" s="1"/>
  <c r="K21" i="4"/>
  <c r="L21" i="4" s="1"/>
  <c r="K20" i="4"/>
  <c r="L20" i="4" s="1"/>
  <c r="K19" i="4"/>
  <c r="L19" i="4" s="1"/>
  <c r="K18" i="4"/>
  <c r="L18" i="4" s="1"/>
  <c r="K17" i="4"/>
  <c r="L17" i="4" s="1"/>
  <c r="K16" i="4"/>
  <c r="L16" i="4" s="1"/>
  <c r="K15" i="4"/>
  <c r="L15" i="4" s="1"/>
  <c r="K14" i="4"/>
  <c r="L14" i="4" s="1"/>
  <c r="K13" i="4"/>
  <c r="L13" i="4" s="1"/>
  <c r="K12" i="4"/>
  <c r="L12" i="4" s="1"/>
  <c r="K11" i="4"/>
  <c r="L11" i="4" s="1"/>
  <c r="K10" i="4"/>
  <c r="L10" i="4" s="1"/>
  <c r="K9" i="4"/>
  <c r="L9" i="4" s="1"/>
  <c r="K8" i="4"/>
  <c r="L8" i="4" s="1"/>
  <c r="K239" i="3"/>
  <c r="L239" i="3"/>
  <c r="K237" i="3"/>
  <c r="L237" i="3" s="1"/>
  <c r="K236" i="3"/>
  <c r="L236" i="3" s="1"/>
  <c r="K235" i="3"/>
  <c r="L235" i="3" s="1"/>
  <c r="K234" i="3"/>
  <c r="L234" i="3" s="1"/>
  <c r="K233" i="3"/>
  <c r="L233" i="3" s="1"/>
  <c r="K232" i="3"/>
  <c r="L232" i="3" s="1"/>
  <c r="K231" i="3"/>
  <c r="L231" i="3" s="1"/>
  <c r="K230" i="3"/>
  <c r="L230" i="3" s="1"/>
  <c r="K229" i="3"/>
  <c r="L229" i="3" s="1"/>
  <c r="K228" i="3"/>
  <c r="L228" i="3" s="1"/>
  <c r="K227" i="3"/>
  <c r="L227" i="3" s="1"/>
  <c r="K226" i="3"/>
  <c r="L226" i="3" s="1"/>
  <c r="K225" i="3"/>
  <c r="L225" i="3" s="1"/>
  <c r="K224" i="3"/>
  <c r="L224" i="3" s="1"/>
  <c r="K223" i="3"/>
  <c r="L223" i="3" s="1"/>
  <c r="K222" i="3"/>
  <c r="L222" i="3" s="1"/>
  <c r="K218" i="3"/>
  <c r="L218" i="3" s="1"/>
  <c r="K217" i="3"/>
  <c r="L217" i="3" s="1"/>
  <c r="K216" i="3"/>
  <c r="L216" i="3" s="1"/>
  <c r="K215" i="3"/>
  <c r="L215" i="3" s="1"/>
  <c r="K214" i="3"/>
  <c r="L214" i="3" s="1"/>
  <c r="K213" i="3"/>
  <c r="L213" i="3" s="1"/>
  <c r="K212" i="3"/>
  <c r="L212" i="3" s="1"/>
  <c r="K211" i="3"/>
  <c r="L211" i="3" s="1"/>
  <c r="K210" i="3"/>
  <c r="L210" i="3" s="1"/>
  <c r="K209" i="3"/>
  <c r="L209" i="3" s="1"/>
  <c r="K208" i="3"/>
  <c r="L208" i="3" s="1"/>
  <c r="K207" i="3"/>
  <c r="L207" i="3" s="1"/>
  <c r="K184" i="3"/>
  <c r="L184" i="3" s="1"/>
  <c r="K183" i="3"/>
  <c r="L183" i="3" s="1"/>
  <c r="K182" i="3"/>
  <c r="L182" i="3" s="1"/>
  <c r="K181" i="3"/>
  <c r="L181" i="3" s="1"/>
  <c r="K153" i="3"/>
  <c r="L153" i="3" s="1"/>
  <c r="L152" i="3"/>
  <c r="K152" i="3"/>
  <c r="L151" i="3"/>
  <c r="K151" i="3"/>
  <c r="K150" i="3"/>
  <c r="L150" i="3" s="1"/>
  <c r="K144" i="3"/>
  <c r="L144" i="3" s="1"/>
  <c r="K122" i="3"/>
  <c r="L122" i="3" s="1"/>
  <c r="K121" i="3"/>
  <c r="L121" i="3" s="1"/>
  <c r="K120" i="3"/>
  <c r="L120" i="3" s="1"/>
  <c r="K119" i="3"/>
  <c r="L119" i="3" s="1"/>
  <c r="K118" i="3"/>
  <c r="L118" i="3" s="1"/>
  <c r="K117" i="3"/>
  <c r="L117" i="3" s="1"/>
  <c r="K116" i="3"/>
  <c r="L116" i="3" s="1"/>
  <c r="K115" i="3"/>
  <c r="L115" i="3" s="1"/>
  <c r="K114" i="3"/>
  <c r="L114" i="3" s="1"/>
  <c r="K113" i="3"/>
  <c r="L113" i="3" s="1"/>
  <c r="K112" i="3"/>
  <c r="L112" i="3" s="1"/>
  <c r="K111" i="3"/>
  <c r="L111" i="3" s="1"/>
  <c r="K110" i="3"/>
  <c r="L110" i="3" s="1"/>
  <c r="K109" i="3"/>
  <c r="L109" i="3" s="1"/>
  <c r="K108" i="3"/>
  <c r="L108" i="3" s="1"/>
  <c r="K107" i="3"/>
  <c r="L107" i="3" s="1"/>
  <c r="K106" i="3"/>
  <c r="L106" i="3" s="1"/>
  <c r="K105" i="3"/>
  <c r="L105" i="3" s="1"/>
  <c r="K104" i="3"/>
  <c r="L104" i="3" s="1"/>
  <c r="K103" i="3"/>
  <c r="L103" i="3" s="1"/>
  <c r="K102" i="3"/>
  <c r="L102" i="3" s="1"/>
  <c r="K101" i="3"/>
  <c r="L101" i="3" s="1"/>
  <c r="K100" i="3"/>
  <c r="L100" i="3" s="1"/>
  <c r="K99" i="3"/>
  <c r="L99" i="3" s="1"/>
  <c r="K98" i="3"/>
  <c r="L98" i="3" s="1"/>
  <c r="K97" i="3"/>
  <c r="L97" i="3" s="1"/>
  <c r="K96" i="3"/>
  <c r="L96" i="3" s="1"/>
  <c r="K95" i="3"/>
  <c r="L95" i="3" s="1"/>
  <c r="K94" i="3"/>
  <c r="L94" i="3" s="1"/>
  <c r="K93" i="3"/>
  <c r="L93" i="3" s="1"/>
  <c r="K92" i="3"/>
  <c r="L92" i="3" s="1"/>
  <c r="K91" i="3"/>
  <c r="L91" i="3" s="1"/>
  <c r="K90" i="3"/>
  <c r="L90" i="3" s="1"/>
  <c r="K89" i="3"/>
  <c r="L89" i="3" s="1"/>
  <c r="K88" i="3"/>
  <c r="L88" i="3" s="1"/>
  <c r="K87" i="3"/>
  <c r="L87" i="3" s="1"/>
  <c r="K86" i="3"/>
  <c r="L86" i="3" s="1"/>
  <c r="K85" i="3"/>
  <c r="L85" i="3" s="1"/>
  <c r="K84" i="3"/>
  <c r="L84" i="3" s="1"/>
  <c r="K83" i="3"/>
  <c r="L83" i="3" s="1"/>
  <c r="K82" i="3"/>
  <c r="L82" i="3" s="1"/>
  <c r="K81" i="3"/>
  <c r="L81" i="3" s="1"/>
  <c r="K80" i="3"/>
  <c r="L80" i="3" s="1"/>
  <c r="K79" i="3"/>
  <c r="L79" i="3" s="1"/>
  <c r="K78" i="3"/>
  <c r="L78" i="3" s="1"/>
  <c r="K77" i="3"/>
  <c r="L77" i="3" s="1"/>
  <c r="K76" i="3"/>
  <c r="L76" i="3" s="1"/>
  <c r="K75" i="3"/>
  <c r="L75" i="3" s="1"/>
  <c r="K74" i="3"/>
  <c r="L74" i="3" s="1"/>
  <c r="K73" i="3"/>
  <c r="L73" i="3" s="1"/>
  <c r="K72" i="3"/>
  <c r="L72" i="3" s="1"/>
  <c r="K71" i="3"/>
  <c r="L71" i="3" s="1"/>
  <c r="K70" i="3"/>
  <c r="L70" i="3" s="1"/>
  <c r="K69" i="3"/>
  <c r="L69" i="3" s="1"/>
  <c r="K68" i="3"/>
  <c r="L68" i="3" s="1"/>
  <c r="K67" i="3"/>
  <c r="L67" i="3" s="1"/>
  <c r="K66" i="3"/>
  <c r="L66" i="3" s="1"/>
  <c r="K65" i="3"/>
  <c r="L65" i="3" s="1"/>
  <c r="K64" i="3"/>
  <c r="L64" i="3" s="1"/>
  <c r="K63" i="3"/>
  <c r="L63" i="3" s="1"/>
  <c r="K62" i="3"/>
  <c r="L62" i="3" s="1"/>
  <c r="K61" i="3"/>
  <c r="L61" i="3" s="1"/>
  <c r="K60" i="3"/>
  <c r="L60" i="3" s="1"/>
  <c r="K59" i="3"/>
  <c r="L59" i="3" s="1"/>
  <c r="K58" i="3"/>
  <c r="L58" i="3" s="1"/>
  <c r="K57" i="3"/>
  <c r="L57" i="3" s="1"/>
  <c r="K56" i="3"/>
  <c r="L56" i="3" s="1"/>
  <c r="K55" i="3"/>
  <c r="L55" i="3" s="1"/>
  <c r="K54" i="3"/>
  <c r="L54" i="3" s="1"/>
  <c r="K53" i="3"/>
  <c r="L53" i="3" s="1"/>
  <c r="K52" i="3"/>
  <c r="L52" i="3" s="1"/>
  <c r="K51" i="3"/>
  <c r="L51" i="3" s="1"/>
  <c r="K50" i="3"/>
  <c r="L50" i="3" s="1"/>
  <c r="K49" i="3"/>
  <c r="L49" i="3" s="1"/>
  <c r="K48" i="3"/>
  <c r="L48" i="3" s="1"/>
  <c r="K47" i="3"/>
  <c r="L47" i="3" s="1"/>
  <c r="K46" i="3"/>
  <c r="L46" i="3" s="1"/>
  <c r="K45" i="3"/>
  <c r="L45" i="3" s="1"/>
  <c r="K44" i="3"/>
  <c r="L44" i="3" s="1"/>
  <c r="K32" i="3"/>
  <c r="L32" i="3" s="1"/>
  <c r="K31" i="3"/>
  <c r="L31" i="3" s="1"/>
  <c r="K30" i="3"/>
  <c r="L30" i="3" s="1"/>
  <c r="K29" i="3"/>
  <c r="L29" i="3" s="1"/>
  <c r="K28" i="3"/>
  <c r="L28" i="3" s="1"/>
  <c r="K27" i="3"/>
  <c r="L27" i="3" s="1"/>
  <c r="K26" i="3"/>
  <c r="L26" i="3" s="1"/>
  <c r="K25" i="3"/>
  <c r="L25" i="3" s="1"/>
  <c r="L21" i="3"/>
  <c r="K21" i="3"/>
  <c r="L20" i="3"/>
  <c r="K20" i="3"/>
  <c r="K19" i="3"/>
  <c r="L19" i="3" s="1"/>
  <c r="J30" i="2"/>
  <c r="J291" i="2"/>
  <c r="J345" i="2"/>
  <c r="J361" i="2" s="1"/>
  <c r="J375" i="2"/>
  <c r="J424" i="2"/>
  <c r="J443" i="2"/>
  <c r="K443" i="2"/>
  <c r="L443" i="2"/>
  <c r="K442" i="2"/>
  <c r="L442" i="2" s="1"/>
  <c r="K441" i="2"/>
  <c r="L441" i="2" s="1"/>
  <c r="K440" i="2"/>
  <c r="L440" i="2" s="1"/>
  <c r="K439" i="2"/>
  <c r="L439" i="2" s="1"/>
  <c r="K438" i="2"/>
  <c r="L438" i="2" s="1"/>
  <c r="K437" i="2"/>
  <c r="L437" i="2" s="1"/>
  <c r="K436" i="2"/>
  <c r="L436" i="2" s="1"/>
  <c r="K435" i="2"/>
  <c r="L435" i="2" s="1"/>
  <c r="K434" i="2"/>
  <c r="L434" i="2" s="1"/>
  <c r="K433" i="2"/>
  <c r="L433" i="2" s="1"/>
  <c r="K432" i="2"/>
  <c r="L432" i="2" s="1"/>
  <c r="K431" i="2"/>
  <c r="L431" i="2" s="1"/>
  <c r="K430" i="2"/>
  <c r="L430" i="2" s="1"/>
  <c r="K429" i="2"/>
  <c r="L429" i="2" s="1"/>
  <c r="K428" i="2"/>
  <c r="L428" i="2" s="1"/>
  <c r="K427" i="2"/>
  <c r="L427" i="2" s="1"/>
  <c r="K422" i="2"/>
  <c r="L422" i="2" s="1"/>
  <c r="K421" i="2"/>
  <c r="L421" i="2" s="1"/>
  <c r="K420" i="2"/>
  <c r="L420" i="2" s="1"/>
  <c r="K419" i="2"/>
  <c r="L419" i="2" s="1"/>
  <c r="K418" i="2"/>
  <c r="L418" i="2" s="1"/>
  <c r="K417" i="2"/>
  <c r="L417" i="2" s="1"/>
  <c r="K416" i="2"/>
  <c r="L416" i="2" s="1"/>
  <c r="K415" i="2"/>
  <c r="L415" i="2" s="1"/>
  <c r="K414" i="2"/>
  <c r="L414" i="2" s="1"/>
  <c r="K413" i="2"/>
  <c r="L413" i="2" s="1"/>
  <c r="K412" i="2"/>
  <c r="L412" i="2" s="1"/>
  <c r="K411" i="2"/>
  <c r="L411" i="2" s="1"/>
  <c r="K410" i="2"/>
  <c r="L410" i="2" s="1"/>
  <c r="K409" i="2"/>
  <c r="L409" i="2" s="1"/>
  <c r="K408" i="2"/>
  <c r="L408" i="2" s="1"/>
  <c r="K407" i="2"/>
  <c r="L407" i="2" s="1"/>
  <c r="K406" i="2"/>
  <c r="L406" i="2" s="1"/>
  <c r="K405" i="2"/>
  <c r="L405" i="2" s="1"/>
  <c r="K404" i="2"/>
  <c r="L404" i="2" s="1"/>
  <c r="K403" i="2"/>
  <c r="L403" i="2" s="1"/>
  <c r="K402" i="2"/>
  <c r="L402" i="2" s="1"/>
  <c r="K401" i="2"/>
  <c r="L401" i="2" s="1"/>
  <c r="K400" i="2"/>
  <c r="L400" i="2" s="1"/>
  <c r="K399" i="2"/>
  <c r="L399" i="2" s="1"/>
  <c r="K398" i="2"/>
  <c r="L398" i="2" s="1"/>
  <c r="K397" i="2"/>
  <c r="L397" i="2" s="1"/>
  <c r="K396" i="2"/>
  <c r="L396" i="2" s="1"/>
  <c r="K395" i="2"/>
  <c r="L395" i="2" s="1"/>
  <c r="K394" i="2"/>
  <c r="L394" i="2" s="1"/>
  <c r="K393" i="2"/>
  <c r="L393" i="2" s="1"/>
  <c r="K382" i="2"/>
  <c r="L382" i="2" s="1"/>
  <c r="K381" i="2"/>
  <c r="K373" i="2"/>
  <c r="L373" i="2" s="1"/>
  <c r="K372" i="2"/>
  <c r="L372" i="2" s="1"/>
  <c r="K371" i="2"/>
  <c r="L371" i="2" s="1"/>
  <c r="K370" i="2"/>
  <c r="L370" i="2" s="1"/>
  <c r="L369" i="2"/>
  <c r="K369" i="2"/>
  <c r="K368" i="2"/>
  <c r="L368" i="2" s="1"/>
  <c r="K367" i="2"/>
  <c r="L367" i="2" s="1"/>
  <c r="K366" i="2"/>
  <c r="L366" i="2" s="1"/>
  <c r="K344" i="2"/>
  <c r="L344" i="2" s="1"/>
  <c r="K343" i="2"/>
  <c r="L343" i="2" s="1"/>
  <c r="K342" i="2"/>
  <c r="L342" i="2" s="1"/>
  <c r="K341" i="2"/>
  <c r="L341" i="2" s="1"/>
  <c r="L340" i="2"/>
  <c r="K340" i="2"/>
  <c r="K339" i="2"/>
  <c r="L339" i="2" s="1"/>
  <c r="K338" i="2"/>
  <c r="L338" i="2" s="1"/>
  <c r="K337" i="2"/>
  <c r="L337" i="2" s="1"/>
  <c r="L336" i="2"/>
  <c r="K336" i="2"/>
  <c r="K335" i="2"/>
  <c r="L335" i="2" s="1"/>
  <c r="K334" i="2"/>
  <c r="L334" i="2" s="1"/>
  <c r="K333" i="2"/>
  <c r="L333" i="2" s="1"/>
  <c r="L332" i="2"/>
  <c r="K332" i="2"/>
  <c r="K331" i="2"/>
  <c r="L331" i="2" s="1"/>
  <c r="K330" i="2"/>
  <c r="L330" i="2" s="1"/>
  <c r="K329" i="2"/>
  <c r="L329" i="2" s="1"/>
  <c r="K328" i="2"/>
  <c r="L328" i="2" s="1"/>
  <c r="K327" i="2"/>
  <c r="L327" i="2" s="1"/>
  <c r="K326" i="2"/>
  <c r="L326" i="2" s="1"/>
  <c r="K325" i="2"/>
  <c r="L325" i="2" s="1"/>
  <c r="L324" i="2"/>
  <c r="K324" i="2"/>
  <c r="K323" i="2"/>
  <c r="L323" i="2" s="1"/>
  <c r="K322" i="2"/>
  <c r="L322" i="2" s="1"/>
  <c r="K321" i="2"/>
  <c r="L321" i="2" s="1"/>
  <c r="K320" i="2"/>
  <c r="L320" i="2" s="1"/>
  <c r="K319" i="2"/>
  <c r="L319" i="2" s="1"/>
  <c r="K318" i="2"/>
  <c r="L318" i="2" s="1"/>
  <c r="K317" i="2"/>
  <c r="L317" i="2" s="1"/>
  <c r="K316" i="2"/>
  <c r="L316" i="2" s="1"/>
  <c r="K315" i="2"/>
  <c r="L315" i="2" s="1"/>
  <c r="K314" i="2"/>
  <c r="L314" i="2" s="1"/>
  <c r="K313" i="2"/>
  <c r="L313" i="2" s="1"/>
  <c r="K312" i="2"/>
  <c r="L312" i="2" s="1"/>
  <c r="K311" i="2"/>
  <c r="L311" i="2" s="1"/>
  <c r="K290" i="2"/>
  <c r="L290" i="2" s="1"/>
  <c r="K289" i="2"/>
  <c r="L289" i="2" s="1"/>
  <c r="K288" i="2"/>
  <c r="L288" i="2" s="1"/>
  <c r="K287" i="2"/>
  <c r="L287" i="2" s="1"/>
  <c r="K286" i="2"/>
  <c r="L286" i="2" s="1"/>
  <c r="K285" i="2"/>
  <c r="L285" i="2" s="1"/>
  <c r="K284" i="2"/>
  <c r="L284" i="2" s="1"/>
  <c r="K283" i="2"/>
  <c r="L283" i="2" s="1"/>
  <c r="K282" i="2"/>
  <c r="L282" i="2" s="1"/>
  <c r="K281" i="2"/>
  <c r="L281" i="2" s="1"/>
  <c r="K280" i="2"/>
  <c r="L280" i="2" s="1"/>
  <c r="K279" i="2"/>
  <c r="L279" i="2" s="1"/>
  <c r="K278" i="2"/>
  <c r="L278" i="2" s="1"/>
  <c r="K277" i="2"/>
  <c r="L277" i="2" s="1"/>
  <c r="K276" i="2"/>
  <c r="L276" i="2" s="1"/>
  <c r="K275" i="2"/>
  <c r="L275" i="2" s="1"/>
  <c r="K274" i="2"/>
  <c r="L274" i="2" s="1"/>
  <c r="K273" i="2"/>
  <c r="L273" i="2" s="1"/>
  <c r="K272" i="2"/>
  <c r="L272" i="2" s="1"/>
  <c r="K271" i="2"/>
  <c r="L271" i="2" s="1"/>
  <c r="K270" i="2"/>
  <c r="L270" i="2" s="1"/>
  <c r="K269" i="2"/>
  <c r="L269" i="2" s="1"/>
  <c r="K268" i="2"/>
  <c r="L268" i="2" s="1"/>
  <c r="K267" i="2"/>
  <c r="L267" i="2" s="1"/>
  <c r="K266" i="2"/>
  <c r="L266" i="2" s="1"/>
  <c r="K265" i="2"/>
  <c r="L265" i="2" s="1"/>
  <c r="K264" i="2"/>
  <c r="L264" i="2" s="1"/>
  <c r="K263" i="2"/>
  <c r="L263" i="2" s="1"/>
  <c r="K262" i="2"/>
  <c r="L262" i="2" s="1"/>
  <c r="K261" i="2"/>
  <c r="L261" i="2" s="1"/>
  <c r="K260" i="2"/>
  <c r="L260" i="2" s="1"/>
  <c r="K259" i="2"/>
  <c r="L259" i="2" s="1"/>
  <c r="K258" i="2"/>
  <c r="L258" i="2" s="1"/>
  <c r="K257" i="2"/>
  <c r="L257" i="2" s="1"/>
  <c r="K256" i="2"/>
  <c r="L256" i="2" s="1"/>
  <c r="K255" i="2"/>
  <c r="L255" i="2" s="1"/>
  <c r="K254" i="2"/>
  <c r="L254" i="2" s="1"/>
  <c r="K253" i="2"/>
  <c r="L253" i="2" s="1"/>
  <c r="K252" i="2"/>
  <c r="L252" i="2" s="1"/>
  <c r="K251" i="2"/>
  <c r="L251" i="2" s="1"/>
  <c r="K250" i="2"/>
  <c r="L250" i="2" s="1"/>
  <c r="K249" i="2"/>
  <c r="L249" i="2" s="1"/>
  <c r="K248" i="2"/>
  <c r="L248" i="2" s="1"/>
  <c r="K247" i="2"/>
  <c r="L247" i="2" s="1"/>
  <c r="K246" i="2"/>
  <c r="L246" i="2" s="1"/>
  <c r="K245" i="2"/>
  <c r="L245" i="2" s="1"/>
  <c r="K244" i="2"/>
  <c r="L244" i="2" s="1"/>
  <c r="K243" i="2"/>
  <c r="L243" i="2" s="1"/>
  <c r="K242" i="2"/>
  <c r="L242" i="2" s="1"/>
  <c r="K241" i="2"/>
  <c r="L241" i="2" s="1"/>
  <c r="K240" i="2"/>
  <c r="L240" i="2" s="1"/>
  <c r="K239" i="2"/>
  <c r="L239" i="2" s="1"/>
  <c r="K238" i="2"/>
  <c r="L238" i="2" s="1"/>
  <c r="K237" i="2"/>
  <c r="L237" i="2" s="1"/>
  <c r="K236" i="2"/>
  <c r="L236" i="2" s="1"/>
  <c r="K235" i="2"/>
  <c r="L235" i="2" s="1"/>
  <c r="K234" i="2"/>
  <c r="L234" i="2" s="1"/>
  <c r="K233" i="2"/>
  <c r="L233" i="2" s="1"/>
  <c r="K232" i="2"/>
  <c r="L232" i="2" s="1"/>
  <c r="K231" i="2"/>
  <c r="L231" i="2" s="1"/>
  <c r="K230" i="2"/>
  <c r="L230" i="2" s="1"/>
  <c r="K229" i="2"/>
  <c r="L229" i="2" s="1"/>
  <c r="K228" i="2"/>
  <c r="L228" i="2" s="1"/>
  <c r="K227" i="2"/>
  <c r="L227" i="2" s="1"/>
  <c r="K226" i="2"/>
  <c r="L226" i="2" s="1"/>
  <c r="K225" i="2"/>
  <c r="L225" i="2" s="1"/>
  <c r="K224" i="2"/>
  <c r="L224" i="2" s="1"/>
  <c r="K223" i="2"/>
  <c r="L223" i="2" s="1"/>
  <c r="K222" i="2"/>
  <c r="L222" i="2" s="1"/>
  <c r="K221" i="2"/>
  <c r="L221" i="2" s="1"/>
  <c r="K220" i="2"/>
  <c r="L220" i="2" s="1"/>
  <c r="K219" i="2"/>
  <c r="L219" i="2" s="1"/>
  <c r="K218" i="2"/>
  <c r="L218" i="2" s="1"/>
  <c r="K217" i="2"/>
  <c r="L217" i="2" s="1"/>
  <c r="K216" i="2"/>
  <c r="L216" i="2" s="1"/>
  <c r="K214" i="2"/>
  <c r="L214" i="2" s="1"/>
  <c r="K213" i="2"/>
  <c r="L213" i="2" s="1"/>
  <c r="K212" i="2"/>
  <c r="L212" i="2" s="1"/>
  <c r="K211" i="2"/>
  <c r="L211" i="2" s="1"/>
  <c r="K210" i="2"/>
  <c r="L210" i="2" s="1"/>
  <c r="K209" i="2"/>
  <c r="L209" i="2" s="1"/>
  <c r="K208" i="2"/>
  <c r="L208" i="2" s="1"/>
  <c r="K207" i="2"/>
  <c r="L207" i="2" s="1"/>
  <c r="L187" i="2"/>
  <c r="K187" i="2"/>
  <c r="K186" i="2"/>
  <c r="L186" i="2" s="1"/>
  <c r="K185" i="2"/>
  <c r="L185" i="2" s="1"/>
  <c r="K184" i="2"/>
  <c r="L184" i="2" s="1"/>
  <c r="L183" i="2"/>
  <c r="K183" i="2"/>
  <c r="K182" i="2"/>
  <c r="L182" i="2" s="1"/>
  <c r="K181" i="2"/>
  <c r="L181" i="2" s="1"/>
  <c r="K180" i="2"/>
  <c r="L180" i="2" s="1"/>
  <c r="K179" i="2"/>
  <c r="L179" i="2" s="1"/>
  <c r="K178" i="2"/>
  <c r="L178" i="2" s="1"/>
  <c r="K177" i="2"/>
  <c r="L177" i="2" s="1"/>
  <c r="K176" i="2"/>
  <c r="L176" i="2" s="1"/>
  <c r="K175" i="2"/>
  <c r="L175" i="2" s="1"/>
  <c r="K174" i="2"/>
  <c r="L174" i="2" s="1"/>
  <c r="K173" i="2"/>
  <c r="L173" i="2" s="1"/>
  <c r="K172" i="2"/>
  <c r="L172" i="2" s="1"/>
  <c r="L171" i="2"/>
  <c r="K171" i="2"/>
  <c r="K170" i="2"/>
  <c r="L170" i="2" s="1"/>
  <c r="K169" i="2"/>
  <c r="L169" i="2" s="1"/>
  <c r="K168" i="2"/>
  <c r="L168" i="2" s="1"/>
  <c r="L167" i="2"/>
  <c r="K167" i="2"/>
  <c r="K166" i="2"/>
  <c r="L166" i="2" s="1"/>
  <c r="K165" i="2"/>
  <c r="L165" i="2" s="1"/>
  <c r="K164" i="2"/>
  <c r="L164" i="2" s="1"/>
  <c r="L163" i="2"/>
  <c r="K163" i="2"/>
  <c r="K162" i="2"/>
  <c r="L162" i="2" s="1"/>
  <c r="K161" i="2"/>
  <c r="L161" i="2" s="1"/>
  <c r="K160" i="2"/>
  <c r="L160" i="2" s="1"/>
  <c r="K159" i="2"/>
  <c r="L159" i="2" s="1"/>
  <c r="K158" i="2"/>
  <c r="L158" i="2" s="1"/>
  <c r="K157" i="2"/>
  <c r="L157" i="2" s="1"/>
  <c r="K156" i="2"/>
  <c r="L156" i="2" s="1"/>
  <c r="L155" i="2"/>
  <c r="K155" i="2"/>
  <c r="K154" i="2"/>
  <c r="L154" i="2" s="1"/>
  <c r="K153" i="2"/>
  <c r="L153" i="2" s="1"/>
  <c r="K152" i="2"/>
  <c r="L152" i="2" s="1"/>
  <c r="L151" i="2"/>
  <c r="K151" i="2"/>
  <c r="K150" i="2"/>
  <c r="L150" i="2" s="1"/>
  <c r="K149" i="2"/>
  <c r="L149" i="2" s="1"/>
  <c r="K148" i="2"/>
  <c r="L148" i="2" s="1"/>
  <c r="L147" i="2"/>
  <c r="K147" i="2"/>
  <c r="K146" i="2"/>
  <c r="L146" i="2" s="1"/>
  <c r="K145" i="2"/>
  <c r="L145" i="2" s="1"/>
  <c r="K144" i="2"/>
  <c r="L144" i="2" s="1"/>
  <c r="K143" i="2"/>
  <c r="L143" i="2" s="1"/>
  <c r="K142" i="2"/>
  <c r="L142" i="2" s="1"/>
  <c r="K141" i="2"/>
  <c r="L141" i="2" s="1"/>
  <c r="K140" i="2"/>
  <c r="L140" i="2" s="1"/>
  <c r="L139" i="2"/>
  <c r="K139" i="2"/>
  <c r="K138" i="2"/>
  <c r="L138" i="2" s="1"/>
  <c r="K137" i="2"/>
  <c r="L137" i="2" s="1"/>
  <c r="K136" i="2"/>
  <c r="L136" i="2" s="1"/>
  <c r="L135" i="2"/>
  <c r="K135" i="2"/>
  <c r="K134" i="2"/>
  <c r="L134" i="2" s="1"/>
  <c r="K133" i="2"/>
  <c r="L133" i="2" s="1"/>
  <c r="K132" i="2"/>
  <c r="L132" i="2" s="1"/>
  <c r="L131" i="2"/>
  <c r="K131" i="2"/>
  <c r="K130" i="2"/>
  <c r="L130" i="2" s="1"/>
  <c r="K129" i="2"/>
  <c r="L129" i="2" s="1"/>
  <c r="K128" i="2"/>
  <c r="L128" i="2" s="1"/>
  <c r="K127" i="2"/>
  <c r="L127" i="2" s="1"/>
  <c r="K126" i="2"/>
  <c r="L126" i="2" s="1"/>
  <c r="K125" i="2"/>
  <c r="L125" i="2" s="1"/>
  <c r="K124" i="2"/>
  <c r="L124" i="2" s="1"/>
  <c r="L123" i="2"/>
  <c r="K123" i="2"/>
  <c r="K122" i="2"/>
  <c r="L122" i="2" s="1"/>
  <c r="K121" i="2"/>
  <c r="L121" i="2" s="1"/>
  <c r="K120" i="2"/>
  <c r="L120" i="2" s="1"/>
  <c r="L119" i="2"/>
  <c r="K119" i="2"/>
  <c r="K118" i="2"/>
  <c r="L118" i="2" s="1"/>
  <c r="K117" i="2"/>
  <c r="L117" i="2" s="1"/>
  <c r="K116" i="2"/>
  <c r="L116" i="2" s="1"/>
  <c r="L115" i="2"/>
  <c r="K115" i="2"/>
  <c r="K114" i="2"/>
  <c r="L114" i="2" s="1"/>
  <c r="K113" i="2"/>
  <c r="L113" i="2" s="1"/>
  <c r="K112" i="2"/>
  <c r="L112" i="2" s="1"/>
  <c r="L111" i="2"/>
  <c r="K111" i="2"/>
  <c r="K110" i="2"/>
  <c r="L110" i="2" s="1"/>
  <c r="K109" i="2"/>
  <c r="L109" i="2" s="1"/>
  <c r="K108" i="2"/>
  <c r="L108" i="2" s="1"/>
  <c r="L107" i="2"/>
  <c r="K107" i="2"/>
  <c r="K106" i="2"/>
  <c r="L106" i="2" s="1"/>
  <c r="K105" i="2"/>
  <c r="L105" i="2" s="1"/>
  <c r="K104" i="2"/>
  <c r="L104" i="2" s="1"/>
  <c r="L103" i="2"/>
  <c r="K103" i="2"/>
  <c r="K102" i="2"/>
  <c r="L102" i="2" s="1"/>
  <c r="K101" i="2"/>
  <c r="L101" i="2" s="1"/>
  <c r="K100" i="2"/>
  <c r="L100" i="2" s="1"/>
  <c r="L99" i="2"/>
  <c r="K99" i="2"/>
  <c r="K98" i="2"/>
  <c r="L98" i="2" s="1"/>
  <c r="K97" i="2"/>
  <c r="L97" i="2" s="1"/>
  <c r="K96" i="2"/>
  <c r="L96" i="2" s="1"/>
  <c r="L95" i="2"/>
  <c r="K95" i="2"/>
  <c r="K94" i="2"/>
  <c r="L94" i="2" s="1"/>
  <c r="K93" i="2"/>
  <c r="L93" i="2" s="1"/>
  <c r="K92" i="2"/>
  <c r="L92" i="2" s="1"/>
  <c r="L91" i="2"/>
  <c r="K91" i="2"/>
  <c r="K90" i="2"/>
  <c r="L90" i="2" s="1"/>
  <c r="K89" i="2"/>
  <c r="L89" i="2" s="1"/>
  <c r="K88" i="2"/>
  <c r="L88" i="2" s="1"/>
  <c r="K87" i="2"/>
  <c r="L87" i="2" s="1"/>
  <c r="K86" i="2"/>
  <c r="L86" i="2" s="1"/>
  <c r="K85" i="2"/>
  <c r="L85" i="2" s="1"/>
  <c r="K84" i="2"/>
  <c r="L84" i="2" s="1"/>
  <c r="L83" i="2"/>
  <c r="K83" i="2"/>
  <c r="K82" i="2"/>
  <c r="L82" i="2" s="1"/>
  <c r="K81" i="2"/>
  <c r="L81" i="2" s="1"/>
  <c r="K80" i="2"/>
  <c r="L80" i="2" s="1"/>
  <c r="L79" i="2"/>
  <c r="K79" i="2"/>
  <c r="K78" i="2"/>
  <c r="L78" i="2" s="1"/>
  <c r="K77" i="2"/>
  <c r="L77" i="2" s="1"/>
  <c r="K76" i="2"/>
  <c r="L76" i="2" s="1"/>
  <c r="L75" i="2"/>
  <c r="K75" i="2"/>
  <c r="K74" i="2"/>
  <c r="L74" i="2" s="1"/>
  <c r="K73" i="2"/>
  <c r="L73" i="2" s="1"/>
  <c r="K72" i="2"/>
  <c r="L72" i="2" s="1"/>
  <c r="L71" i="2"/>
  <c r="K71" i="2"/>
  <c r="K70" i="2"/>
  <c r="L70" i="2" s="1"/>
  <c r="K69" i="2"/>
  <c r="L69" i="2" s="1"/>
  <c r="K68" i="2"/>
  <c r="L68" i="2" s="1"/>
  <c r="L67" i="2"/>
  <c r="K67" i="2"/>
  <c r="K66" i="2"/>
  <c r="L66" i="2" s="1"/>
  <c r="K65" i="2"/>
  <c r="L65" i="2" s="1"/>
  <c r="K64" i="2"/>
  <c r="L64" i="2" s="1"/>
  <c r="L63" i="2"/>
  <c r="K63" i="2"/>
  <c r="K62" i="2"/>
  <c r="L62" i="2" s="1"/>
  <c r="K61" i="2"/>
  <c r="L61" i="2" s="1"/>
  <c r="K60" i="2"/>
  <c r="L60" i="2" s="1"/>
  <c r="L59" i="2"/>
  <c r="K59" i="2"/>
  <c r="K58" i="2"/>
  <c r="L58" i="2" s="1"/>
  <c r="K57" i="2"/>
  <c r="L57" i="2" s="1"/>
  <c r="K56" i="2"/>
  <c r="L56" i="2" s="1"/>
  <c r="L55" i="2"/>
  <c r="K55" i="2"/>
  <c r="K54" i="2"/>
  <c r="L54" i="2" s="1"/>
  <c r="K53" i="2"/>
  <c r="L53" i="2" s="1"/>
  <c r="K52" i="2"/>
  <c r="L52" i="2" s="1"/>
  <c r="L29" i="2"/>
  <c r="K29" i="2"/>
  <c r="K28" i="2"/>
  <c r="L28" i="2" s="1"/>
  <c r="K27" i="2"/>
  <c r="L27" i="2" s="1"/>
  <c r="K26" i="2"/>
  <c r="L26" i="2" s="1"/>
  <c r="K25" i="2"/>
  <c r="L25" i="2" s="1"/>
  <c r="K24" i="2"/>
  <c r="L24" i="2" s="1"/>
  <c r="K23" i="2"/>
  <c r="L23" i="2" s="1"/>
  <c r="K22" i="2"/>
  <c r="L22" i="2" s="1"/>
  <c r="L21" i="2"/>
  <c r="K21" i="2"/>
  <c r="K20" i="2"/>
  <c r="L20" i="2" s="1"/>
  <c r="K19" i="2"/>
  <c r="L19" i="2" s="1"/>
  <c r="K18" i="2"/>
  <c r="L18" i="2" s="1"/>
  <c r="K17" i="2"/>
  <c r="L17" i="2" s="1"/>
  <c r="K16" i="2"/>
  <c r="L16" i="2" s="1"/>
  <c r="K15" i="2"/>
  <c r="L15" i="2" s="1"/>
  <c r="K14" i="2"/>
  <c r="L14" i="2" s="1"/>
  <c r="K136" i="1"/>
  <c r="L136" i="1" s="1"/>
  <c r="K135" i="1"/>
  <c r="L135" i="1" s="1"/>
  <c r="K126" i="1"/>
  <c r="L126" i="1" s="1"/>
  <c r="K122" i="1"/>
  <c r="L122" i="1" s="1"/>
  <c r="L121" i="1"/>
  <c r="K121" i="1"/>
  <c r="K120" i="1"/>
  <c r="L120" i="1" s="1"/>
  <c r="K119" i="1"/>
  <c r="L119" i="1" s="1"/>
  <c r="K118" i="1"/>
  <c r="L118" i="1" s="1"/>
  <c r="L117" i="1"/>
  <c r="K117" i="1"/>
  <c r="K116" i="1"/>
  <c r="L116" i="1" s="1"/>
  <c r="K115" i="1"/>
  <c r="L115" i="1" s="1"/>
  <c r="K114" i="1"/>
  <c r="L114" i="1" s="1"/>
  <c r="L113" i="1"/>
  <c r="K113" i="1"/>
  <c r="K112" i="1"/>
  <c r="L112" i="1" s="1"/>
  <c r="K111" i="1"/>
  <c r="L111" i="1" s="1"/>
  <c r="K110" i="1"/>
  <c r="L110" i="1" s="1"/>
  <c r="L109" i="1"/>
  <c r="K109" i="1"/>
  <c r="K108" i="1"/>
  <c r="L108" i="1" s="1"/>
  <c r="K107" i="1"/>
  <c r="L107" i="1" s="1"/>
  <c r="K106" i="1"/>
  <c r="L106" i="1" s="1"/>
  <c r="L105" i="1"/>
  <c r="K105" i="1"/>
  <c r="K100" i="1"/>
  <c r="L100" i="1" s="1"/>
  <c r="K99" i="1"/>
  <c r="L99" i="1" s="1"/>
  <c r="K98" i="1"/>
  <c r="L98" i="1" s="1"/>
  <c r="L97" i="1"/>
  <c r="K97" i="1"/>
  <c r="K96" i="1"/>
  <c r="L96" i="1" s="1"/>
  <c r="K95" i="1"/>
  <c r="L95" i="1" s="1"/>
  <c r="K94" i="1"/>
  <c r="L94" i="1" s="1"/>
  <c r="L93" i="1"/>
  <c r="K93" i="1"/>
  <c r="K92" i="1"/>
  <c r="L92" i="1" s="1"/>
  <c r="K91" i="1"/>
  <c r="L91" i="1" s="1"/>
  <c r="K90" i="1"/>
  <c r="L90" i="1" s="1"/>
  <c r="L89" i="1"/>
  <c r="K89" i="1"/>
  <c r="K88" i="1"/>
  <c r="L88" i="1" s="1"/>
  <c r="K87" i="1"/>
  <c r="K86" i="1"/>
  <c r="L86" i="1" s="1"/>
  <c r="K84" i="1"/>
  <c r="L84" i="1" s="1"/>
  <c r="K83" i="1"/>
  <c r="K82" i="1"/>
  <c r="L81" i="1"/>
  <c r="K81" i="1"/>
  <c r="K80" i="1"/>
  <c r="L80" i="1" s="1"/>
  <c r="K79" i="1"/>
  <c r="L79" i="1" s="1"/>
  <c r="K78" i="1"/>
  <c r="L78" i="1" s="1"/>
  <c r="L77" i="1"/>
  <c r="K77" i="1"/>
  <c r="K76" i="1"/>
  <c r="L76" i="1" s="1"/>
  <c r="K75" i="1"/>
  <c r="L75" i="1" s="1"/>
  <c r="K74" i="1"/>
  <c r="L74" i="1" s="1"/>
  <c r="L73" i="1"/>
  <c r="K73" i="1"/>
  <c r="K72" i="1"/>
  <c r="L72" i="1" s="1"/>
  <c r="K67" i="1"/>
  <c r="L67" i="1" s="1"/>
  <c r="K66" i="1"/>
  <c r="L66" i="1" s="1"/>
  <c r="L65" i="1"/>
  <c r="K65" i="1"/>
  <c r="K64" i="1"/>
  <c r="L64" i="1" s="1"/>
  <c r="K63" i="1"/>
  <c r="L63" i="1" s="1"/>
  <c r="K62" i="1"/>
  <c r="L62" i="1" s="1"/>
  <c r="L61" i="1"/>
  <c r="K61" i="1"/>
  <c r="K60" i="1"/>
  <c r="L60" i="1" s="1"/>
  <c r="L45" i="1"/>
  <c r="K45" i="1"/>
  <c r="K44" i="1"/>
  <c r="L44" i="1" s="1"/>
  <c r="L43" i="1"/>
  <c r="K43" i="1"/>
  <c r="K42" i="1"/>
  <c r="L42" i="1" s="1"/>
  <c r="L41" i="1"/>
  <c r="K41" i="1"/>
  <c r="K40" i="1"/>
  <c r="L40" i="1" s="1"/>
  <c r="K39" i="1"/>
  <c r="L39" i="1" s="1"/>
  <c r="K38" i="1"/>
  <c r="L38" i="1" s="1"/>
  <c r="L37" i="1"/>
  <c r="K37" i="1"/>
  <c r="K36" i="1"/>
  <c r="L36" i="1" s="1"/>
  <c r="L31" i="1"/>
  <c r="K31" i="1"/>
  <c r="K30" i="1"/>
  <c r="L30" i="1" s="1"/>
  <c r="K29" i="1"/>
  <c r="L29" i="1" s="1"/>
  <c r="K28" i="1"/>
  <c r="L28" i="1" s="1"/>
  <c r="K24" i="1"/>
  <c r="L24" i="1" s="1"/>
  <c r="K23" i="1"/>
  <c r="L23" i="1" s="1"/>
  <c r="L19" i="1"/>
  <c r="K19" i="1"/>
  <c r="K18" i="1"/>
  <c r="L18" i="1" s="1"/>
  <c r="K17" i="1"/>
  <c r="L17" i="1" s="1"/>
  <c r="L13" i="1"/>
  <c r="K13" i="1"/>
  <c r="K9" i="1"/>
  <c r="L9" i="1" s="1"/>
  <c r="L8" i="1"/>
  <c r="F6" i="8"/>
  <c r="L30" i="2" l="1"/>
  <c r="L46" i="2" s="1"/>
  <c r="K30" i="2"/>
  <c r="K46" i="2" s="1"/>
  <c r="D16" i="8"/>
  <c r="F76" i="7" l="1"/>
  <c r="H76" i="7"/>
  <c r="J76" i="7"/>
  <c r="K76" i="7"/>
  <c r="L76" i="7"/>
  <c r="J83" i="1" l="1"/>
  <c r="J60" i="1" l="1"/>
  <c r="J61" i="1"/>
  <c r="J62" i="1"/>
  <c r="J63" i="1"/>
  <c r="J64" i="1"/>
  <c r="J65" i="1"/>
  <c r="J66" i="1"/>
  <c r="J23" i="5" l="1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21" i="5"/>
  <c r="F188" i="2"/>
  <c r="H188" i="2"/>
  <c r="K188" i="2"/>
  <c r="L188" i="2"/>
  <c r="K424" i="2"/>
  <c r="K445" i="2" s="1"/>
  <c r="L424" i="2"/>
  <c r="L445" i="2" s="1"/>
  <c r="K345" i="2" l="1"/>
  <c r="L345" i="2"/>
  <c r="K383" i="2" l="1"/>
  <c r="L383" i="2"/>
  <c r="J383" i="2"/>
  <c r="K375" i="2"/>
  <c r="L375" i="2"/>
  <c r="F291" i="2" l="1"/>
  <c r="K291" i="2"/>
  <c r="L291" i="2"/>
  <c r="J146" i="3" l="1"/>
  <c r="J123" i="3"/>
  <c r="F127" i="1" l="1"/>
  <c r="G127" i="1"/>
  <c r="H127" i="1"/>
  <c r="I127" i="1"/>
  <c r="J127" i="1"/>
  <c r="F138" i="1"/>
  <c r="G138" i="1"/>
  <c r="G153" i="1" s="1"/>
  <c r="H138" i="1"/>
  <c r="I138" i="1"/>
  <c r="I153" i="1" s="1"/>
  <c r="J138" i="1"/>
  <c r="J153" i="1" s="1"/>
  <c r="F153" i="1"/>
  <c r="H153" i="1"/>
  <c r="G72" i="1"/>
  <c r="I72" i="1"/>
  <c r="G73" i="1"/>
  <c r="H73" i="1"/>
  <c r="I73" i="1"/>
  <c r="G74" i="1"/>
  <c r="I74" i="1" s="1"/>
  <c r="G75" i="1"/>
  <c r="I75" i="1"/>
  <c r="G76" i="1"/>
  <c r="I76" i="1" s="1"/>
  <c r="H76" i="1"/>
  <c r="G77" i="1"/>
  <c r="I77" i="1"/>
  <c r="G78" i="1"/>
  <c r="H78" i="1"/>
  <c r="I78" i="1"/>
  <c r="C20" i="8" l="1"/>
  <c r="C12" i="8"/>
  <c r="C11" i="8"/>
  <c r="C10" i="8"/>
  <c r="C9" i="8"/>
  <c r="C8" i="8"/>
  <c r="C7" i="8"/>
  <c r="C5" i="8"/>
  <c r="J24" i="1"/>
  <c r="J23" i="1"/>
  <c r="J25" i="1" s="1"/>
  <c r="J44" i="1"/>
  <c r="J43" i="1"/>
  <c r="J42" i="1"/>
  <c r="J41" i="1"/>
  <c r="J40" i="1"/>
  <c r="J39" i="1"/>
  <c r="J38" i="1"/>
  <c r="J37" i="1"/>
  <c r="J47" i="1" s="1"/>
  <c r="J36" i="1"/>
  <c r="J52" i="1"/>
  <c r="J33" i="1"/>
  <c r="K25" i="1"/>
  <c r="L25" i="1"/>
  <c r="J20" i="1"/>
  <c r="K20" i="1"/>
  <c r="L20" i="1"/>
  <c r="J14" i="1"/>
  <c r="K14" i="1"/>
  <c r="L14" i="1"/>
  <c r="J10" i="1"/>
  <c r="K10" i="1"/>
  <c r="L10" i="1"/>
  <c r="J9" i="1"/>
  <c r="J9" i="7"/>
  <c r="J11" i="7" s="1"/>
  <c r="K9" i="7"/>
  <c r="K11" i="7" s="1"/>
  <c r="L9" i="7"/>
  <c r="L11" i="7" s="1"/>
  <c r="J46" i="7"/>
  <c r="K46" i="7"/>
  <c r="L46" i="7"/>
  <c r="J69" i="7"/>
  <c r="I16" i="8" s="1"/>
  <c r="K69" i="7"/>
  <c r="L69" i="7"/>
  <c r="I20" i="8"/>
  <c r="J86" i="7"/>
  <c r="I26" i="8" s="1"/>
  <c r="K86" i="7"/>
  <c r="L86" i="7"/>
  <c r="J104" i="7"/>
  <c r="J119" i="7" s="1"/>
  <c r="K104" i="7"/>
  <c r="K119" i="7" s="1"/>
  <c r="L104" i="7"/>
  <c r="L119" i="7" s="1"/>
  <c r="K68" i="6"/>
  <c r="L68" i="6"/>
  <c r="J87" i="6"/>
  <c r="K87" i="6"/>
  <c r="L87" i="6"/>
  <c r="K120" i="6"/>
  <c r="L120" i="6"/>
  <c r="J132" i="6"/>
  <c r="K132" i="6"/>
  <c r="L132" i="6"/>
  <c r="J41" i="5"/>
  <c r="K41" i="5"/>
  <c r="K43" i="5" s="1"/>
  <c r="K45" i="5" s="1"/>
  <c r="L41" i="5"/>
  <c r="J18" i="5"/>
  <c r="H19" i="8" s="1"/>
  <c r="K18" i="5"/>
  <c r="L18" i="5"/>
  <c r="J67" i="4"/>
  <c r="E16" i="8" s="1"/>
  <c r="K67" i="4"/>
  <c r="L67" i="4"/>
  <c r="J71" i="4"/>
  <c r="E20" i="8" s="1"/>
  <c r="K71" i="4"/>
  <c r="L71" i="4"/>
  <c r="J92" i="4"/>
  <c r="J107" i="4" s="1"/>
  <c r="K92" i="4"/>
  <c r="K107" i="4" s="1"/>
  <c r="L92" i="4"/>
  <c r="L107" i="4" s="1"/>
  <c r="J152" i="4"/>
  <c r="K152" i="4"/>
  <c r="L152" i="4"/>
  <c r="J165" i="4"/>
  <c r="K165" i="4"/>
  <c r="L165" i="4"/>
  <c r="J176" i="4"/>
  <c r="K176" i="4"/>
  <c r="L176" i="4"/>
  <c r="J11" i="3"/>
  <c r="J13" i="3" s="1"/>
  <c r="K11" i="3"/>
  <c r="K13" i="3" s="1"/>
  <c r="L11" i="3"/>
  <c r="L13" i="3" s="1"/>
  <c r="J22" i="3"/>
  <c r="K22" i="3"/>
  <c r="L22" i="3"/>
  <c r="J35" i="3"/>
  <c r="K35" i="3"/>
  <c r="L35" i="3"/>
  <c r="J137" i="3"/>
  <c r="K123" i="3"/>
  <c r="K137" i="3" s="1"/>
  <c r="L123" i="3"/>
  <c r="L137" i="3" s="1"/>
  <c r="K146" i="3"/>
  <c r="L146" i="3"/>
  <c r="J157" i="3"/>
  <c r="K157" i="3"/>
  <c r="L157" i="3"/>
  <c r="J179" i="3"/>
  <c r="K179" i="3"/>
  <c r="L179" i="3"/>
  <c r="J187" i="3"/>
  <c r="K187" i="3"/>
  <c r="L187" i="3"/>
  <c r="J200" i="3"/>
  <c r="K200" i="3"/>
  <c r="L200" i="3"/>
  <c r="J219" i="3"/>
  <c r="K219" i="3"/>
  <c r="K241" i="3" s="1"/>
  <c r="L219" i="3"/>
  <c r="L241" i="3" s="1"/>
  <c r="J239" i="3"/>
  <c r="J10" i="2"/>
  <c r="K10" i="2"/>
  <c r="L10" i="2"/>
  <c r="J44" i="2"/>
  <c r="K44" i="2"/>
  <c r="L44" i="2"/>
  <c r="J203" i="2"/>
  <c r="K203" i="2"/>
  <c r="L203" i="2"/>
  <c r="H304" i="2"/>
  <c r="J304" i="2"/>
  <c r="K304" i="2"/>
  <c r="L304" i="2"/>
  <c r="K361" i="2"/>
  <c r="L361" i="2"/>
  <c r="J390" i="2"/>
  <c r="K389" i="2"/>
  <c r="L389" i="2"/>
  <c r="K127" i="1"/>
  <c r="J123" i="1"/>
  <c r="C16" i="8" s="1"/>
  <c r="K123" i="1"/>
  <c r="J68" i="1"/>
  <c r="C18" i="8" s="1"/>
  <c r="R173" i="4"/>
  <c r="I417" i="2"/>
  <c r="I418" i="2"/>
  <c r="H414" i="2"/>
  <c r="K134" i="6" l="1"/>
  <c r="L167" i="4"/>
  <c r="K37" i="3"/>
  <c r="L134" i="6"/>
  <c r="K89" i="6"/>
  <c r="L43" i="5"/>
  <c r="L45" i="5" s="1"/>
  <c r="I11" i="8"/>
  <c r="L89" i="6"/>
  <c r="G16" i="8"/>
  <c r="K167" i="4"/>
  <c r="L37" i="3"/>
  <c r="I19" i="8"/>
  <c r="L78" i="7"/>
  <c r="L121" i="7" s="1"/>
  <c r="K78" i="7"/>
  <c r="K122" i="7" s="1"/>
  <c r="J43" i="5"/>
  <c r="J45" i="5" s="1"/>
  <c r="H17" i="8"/>
  <c r="D11" i="8"/>
  <c r="F11" i="8"/>
  <c r="L202" i="3"/>
  <c r="K202" i="3"/>
  <c r="F19" i="8"/>
  <c r="G19" i="8"/>
  <c r="J37" i="3"/>
  <c r="J101" i="1"/>
  <c r="J129" i="1" s="1"/>
  <c r="J155" i="1" s="1"/>
  <c r="J54" i="1"/>
  <c r="J78" i="7"/>
  <c r="J121" i="7" s="1"/>
  <c r="J134" i="6"/>
  <c r="J136" i="6" s="1"/>
  <c r="J167" i="4"/>
  <c r="J202" i="3"/>
  <c r="J241" i="3"/>
  <c r="J46" i="2"/>
  <c r="K306" i="2"/>
  <c r="L306" i="2"/>
  <c r="J306" i="2"/>
  <c r="J446" i="2"/>
  <c r="H103" i="3"/>
  <c r="H101" i="3"/>
  <c r="H85" i="3"/>
  <c r="H48" i="3"/>
  <c r="H45" i="3"/>
  <c r="H311" i="2"/>
  <c r="H105" i="6"/>
  <c r="H99" i="6"/>
  <c r="H47" i="6"/>
  <c r="H18" i="2"/>
  <c r="H17" i="2"/>
  <c r="H16" i="2"/>
  <c r="H15" i="2"/>
  <c r="H14" i="2"/>
  <c r="H70" i="4"/>
  <c r="H315" i="2"/>
  <c r="H316" i="2"/>
  <c r="H327" i="2"/>
  <c r="H325" i="2"/>
  <c r="H324" i="2"/>
  <c r="K447" i="2" l="1"/>
  <c r="C23" i="9"/>
  <c r="L447" i="2"/>
  <c r="L449" i="2" s="1"/>
  <c r="C22" i="10"/>
  <c r="J122" i="7"/>
  <c r="K136" i="6"/>
  <c r="L136" i="6"/>
  <c r="L243" i="3"/>
  <c r="L245" i="3" s="1"/>
  <c r="K243" i="3"/>
  <c r="K245" i="3" s="1"/>
  <c r="K449" i="2"/>
  <c r="J447" i="2"/>
  <c r="D19" i="8" s="1"/>
  <c r="L122" i="7"/>
  <c r="K121" i="7"/>
  <c r="C19" i="8"/>
  <c r="J140" i="6"/>
  <c r="J450" i="2"/>
  <c r="H27" i="6"/>
  <c r="H88" i="1"/>
  <c r="H406" i="2"/>
  <c r="H19" i="6"/>
  <c r="H93" i="1"/>
  <c r="J449" i="2" l="1"/>
  <c r="J157" i="1"/>
  <c r="H96" i="1"/>
  <c r="H20" i="7"/>
  <c r="H412" i="2"/>
  <c r="H249" i="2"/>
  <c r="H291" i="2" s="1"/>
  <c r="H94" i="6"/>
  <c r="Q9" i="5" l="1"/>
  <c r="H29" i="7"/>
  <c r="Q138" i="4"/>
  <c r="Q141" i="4"/>
  <c r="H137" i="4"/>
  <c r="H123" i="1"/>
  <c r="H92" i="1"/>
  <c r="H94" i="1"/>
  <c r="H443" i="2"/>
  <c r="H150" i="3"/>
  <c r="H207" i="3"/>
  <c r="H183" i="3"/>
  <c r="H140" i="4"/>
  <c r="H26" i="4"/>
  <c r="H43" i="4"/>
  <c r="H119" i="4" l="1"/>
  <c r="Q52" i="4" l="1"/>
  <c r="H313" i="2" l="1"/>
  <c r="I66" i="1" l="1"/>
  <c r="I40" i="6"/>
  <c r="I41" i="6"/>
  <c r="H48" i="4" l="1"/>
  <c r="I27" i="4"/>
  <c r="I39" i="7" l="1"/>
  <c r="I38" i="6"/>
  <c r="I39" i="6"/>
  <c r="I149" i="4"/>
  <c r="G120" i="1"/>
  <c r="I120" i="1" s="1"/>
  <c r="H116" i="7" l="1"/>
  <c r="H104" i="7"/>
  <c r="H86" i="7"/>
  <c r="H69" i="7"/>
  <c r="H46" i="7"/>
  <c r="H9" i="7"/>
  <c r="H11" i="7" s="1"/>
  <c r="I66" i="6"/>
  <c r="H132" i="6"/>
  <c r="H120" i="6"/>
  <c r="H87" i="6"/>
  <c r="H68" i="6"/>
  <c r="H41" i="5"/>
  <c r="H18" i="5"/>
  <c r="F189" i="4"/>
  <c r="H189" i="4"/>
  <c r="H176" i="4"/>
  <c r="F165" i="4"/>
  <c r="H165" i="4"/>
  <c r="H152" i="4"/>
  <c r="H92" i="4"/>
  <c r="H107" i="4" s="1"/>
  <c r="H71" i="4"/>
  <c r="H67" i="4"/>
  <c r="I216" i="3"/>
  <c r="I168" i="3"/>
  <c r="I167" i="3"/>
  <c r="I166" i="3"/>
  <c r="I165" i="3"/>
  <c r="I164" i="3"/>
  <c r="I163" i="3"/>
  <c r="I162" i="3"/>
  <c r="I161" i="3"/>
  <c r="I160" i="3"/>
  <c r="H239" i="3"/>
  <c r="H219" i="3"/>
  <c r="H200" i="3"/>
  <c r="H187" i="3"/>
  <c r="H179" i="3"/>
  <c r="H157" i="3"/>
  <c r="H146" i="3"/>
  <c r="F135" i="3"/>
  <c r="H135" i="3"/>
  <c r="H123" i="3"/>
  <c r="H35" i="3"/>
  <c r="H22" i="3"/>
  <c r="H11" i="3"/>
  <c r="H13" i="3" s="1"/>
  <c r="H52" i="1"/>
  <c r="K52" i="1"/>
  <c r="I322" i="2"/>
  <c r="I32" i="2"/>
  <c r="H424" i="2"/>
  <c r="H389" i="2"/>
  <c r="H345" i="2"/>
  <c r="H361" i="2" s="1"/>
  <c r="H306" i="2"/>
  <c r="F44" i="2"/>
  <c r="H44" i="2"/>
  <c r="H30" i="2"/>
  <c r="F10" i="2"/>
  <c r="H10" i="2"/>
  <c r="E10" i="2"/>
  <c r="H10" i="1"/>
  <c r="H14" i="1"/>
  <c r="H20" i="1"/>
  <c r="H25" i="1"/>
  <c r="H33" i="1"/>
  <c r="H47" i="1"/>
  <c r="H68" i="1"/>
  <c r="H101" i="1"/>
  <c r="H46" i="2" l="1"/>
  <c r="H73" i="4"/>
  <c r="H37" i="3"/>
  <c r="H137" i="3"/>
  <c r="H202" i="3"/>
  <c r="H119" i="7"/>
  <c r="H43" i="5"/>
  <c r="H45" i="5" s="1"/>
  <c r="H241" i="3"/>
  <c r="H445" i="2"/>
  <c r="H78" i="7"/>
  <c r="H134" i="6"/>
  <c r="H89" i="6"/>
  <c r="H167" i="4"/>
  <c r="H191" i="4"/>
  <c r="H54" i="1"/>
  <c r="H129" i="1"/>
  <c r="F179" i="3"/>
  <c r="G177" i="3"/>
  <c r="I177" i="3" s="1"/>
  <c r="H155" i="1" l="1"/>
  <c r="H157" i="1"/>
  <c r="H122" i="7"/>
  <c r="H193" i="4"/>
  <c r="H195" i="4" s="1"/>
  <c r="H121" i="7"/>
  <c r="H136" i="6"/>
  <c r="G31" i="7"/>
  <c r="I31" i="7" s="1"/>
  <c r="G416" i="2"/>
  <c r="I416" i="2" s="1"/>
  <c r="G61" i="3"/>
  <c r="I61" i="3" s="1"/>
  <c r="G67" i="6"/>
  <c r="I67" i="6" s="1"/>
  <c r="G150" i="4"/>
  <c r="I150" i="4" s="1"/>
  <c r="G151" i="4"/>
  <c r="I151" i="4" s="1"/>
  <c r="F187" i="3"/>
  <c r="F219" i="3"/>
  <c r="F239" i="3"/>
  <c r="F200" i="3"/>
  <c r="G183" i="3"/>
  <c r="I183" i="3" s="1"/>
  <c r="G184" i="3"/>
  <c r="I184" i="3" s="1"/>
  <c r="G185" i="3"/>
  <c r="I185" i="3" s="1"/>
  <c r="G218" i="3"/>
  <c r="I218" i="3" s="1"/>
  <c r="G217" i="3"/>
  <c r="I217" i="3" s="1"/>
  <c r="F202" i="3" l="1"/>
  <c r="F241" i="3"/>
  <c r="F9" i="7"/>
  <c r="F11" i="7" s="1"/>
  <c r="F46" i="7"/>
  <c r="F69" i="7"/>
  <c r="F86" i="7"/>
  <c r="F104" i="7"/>
  <c r="F119" i="7" s="1"/>
  <c r="G117" i="7"/>
  <c r="G77" i="7"/>
  <c r="G72" i="7"/>
  <c r="G71" i="7"/>
  <c r="G14" i="7"/>
  <c r="G13" i="7"/>
  <c r="G12" i="7"/>
  <c r="F132" i="6"/>
  <c r="F120" i="6"/>
  <c r="F87" i="6"/>
  <c r="F68" i="6"/>
  <c r="G135" i="6"/>
  <c r="G133" i="6"/>
  <c r="G131" i="6"/>
  <c r="I131" i="6" s="1"/>
  <c r="G130" i="6"/>
  <c r="I130" i="6" s="1"/>
  <c r="G129" i="6"/>
  <c r="I129" i="6" s="1"/>
  <c r="G128" i="6"/>
  <c r="I128" i="6" s="1"/>
  <c r="G127" i="6"/>
  <c r="I127" i="6" s="1"/>
  <c r="G126" i="6"/>
  <c r="I126" i="6" s="1"/>
  <c r="G125" i="6"/>
  <c r="I125" i="6" s="1"/>
  <c r="G124" i="6"/>
  <c r="I124" i="6" s="1"/>
  <c r="G123" i="6"/>
  <c r="I123" i="6" s="1"/>
  <c r="G122" i="6"/>
  <c r="G121" i="6"/>
  <c r="G93" i="6"/>
  <c r="G92" i="6"/>
  <c r="G91" i="6"/>
  <c r="G90" i="6"/>
  <c r="G88" i="6"/>
  <c r="F41" i="5"/>
  <c r="F43" i="5" s="1"/>
  <c r="F45" i="5" s="1"/>
  <c r="F18" i="5"/>
  <c r="G44" i="5"/>
  <c r="G42" i="5"/>
  <c r="G20" i="5"/>
  <c r="G19" i="5"/>
  <c r="I132" i="6" l="1"/>
  <c r="F89" i="6"/>
  <c r="F78" i="7"/>
  <c r="F121" i="7" s="1"/>
  <c r="F134" i="6"/>
  <c r="G132" i="6"/>
  <c r="F48" i="4"/>
  <c r="F67" i="4"/>
  <c r="F71" i="4"/>
  <c r="F92" i="4"/>
  <c r="F105" i="4"/>
  <c r="F152" i="4"/>
  <c r="F167" i="4" s="1"/>
  <c r="F176" i="4"/>
  <c r="F191" i="4" s="1"/>
  <c r="F157" i="3"/>
  <c r="F146" i="3"/>
  <c r="F123" i="3"/>
  <c r="F137" i="3" s="1"/>
  <c r="F35" i="3"/>
  <c r="F22" i="3"/>
  <c r="F11" i="3"/>
  <c r="F13" i="3" s="1"/>
  <c r="C304" i="2"/>
  <c r="D304" i="2"/>
  <c r="F304" i="2"/>
  <c r="F345" i="2"/>
  <c r="F361" i="2" s="1"/>
  <c r="F389" i="2"/>
  <c r="F424" i="2"/>
  <c r="F443" i="2"/>
  <c r="F30" i="2"/>
  <c r="F46" i="2" s="1"/>
  <c r="G20" i="2"/>
  <c r="I20" i="2" s="1"/>
  <c r="G19" i="2"/>
  <c r="I19" i="2" s="1"/>
  <c r="G9" i="2"/>
  <c r="F52" i="1"/>
  <c r="L52" i="1"/>
  <c r="F68" i="1"/>
  <c r="F101" i="1"/>
  <c r="F123" i="1"/>
  <c r="F10" i="1"/>
  <c r="F14" i="1"/>
  <c r="F20" i="1"/>
  <c r="F25" i="1"/>
  <c r="F33" i="1"/>
  <c r="F47" i="1"/>
  <c r="F306" i="2" l="1"/>
  <c r="I9" i="2"/>
  <c r="G10" i="2"/>
  <c r="F445" i="2"/>
  <c r="F136" i="6"/>
  <c r="F107" i="4"/>
  <c r="F122" i="7"/>
  <c r="F37" i="3"/>
  <c r="F73" i="4"/>
  <c r="F129" i="1"/>
  <c r="F54" i="1"/>
  <c r="F155" i="1" l="1"/>
  <c r="F157" i="1"/>
  <c r="I10" i="2"/>
  <c r="F193" i="4"/>
  <c r="F195" i="4" s="1"/>
  <c r="C76" i="7" l="1"/>
  <c r="D76" i="7"/>
  <c r="E74" i="7"/>
  <c r="G74" i="7" s="1"/>
  <c r="I74" i="7" s="1"/>
  <c r="E73" i="7"/>
  <c r="E76" i="7" s="1"/>
  <c r="G73" i="7" l="1"/>
  <c r="G76" i="7" s="1"/>
  <c r="C35" i="3"/>
  <c r="E420" i="2"/>
  <c r="G420" i="2" s="1"/>
  <c r="I420" i="2" s="1"/>
  <c r="C389" i="2"/>
  <c r="D389" i="2"/>
  <c r="E388" i="2"/>
  <c r="D10" i="2"/>
  <c r="C10" i="2"/>
  <c r="I73" i="7" l="1"/>
  <c r="I76" i="7" s="1"/>
  <c r="E389" i="2"/>
  <c r="G388" i="2"/>
  <c r="C12" i="9"/>
  <c r="D200" i="3"/>
  <c r="C200" i="3"/>
  <c r="C179" i="3"/>
  <c r="D179" i="3"/>
  <c r="E178" i="3"/>
  <c r="E179" i="3" s="1"/>
  <c r="G389" i="2" l="1"/>
  <c r="I388" i="2"/>
  <c r="G178" i="3"/>
  <c r="D116" i="7"/>
  <c r="E27" i="7"/>
  <c r="G27" i="7" s="1"/>
  <c r="I27" i="7" s="1"/>
  <c r="G179" i="3" l="1"/>
  <c r="I178" i="3"/>
  <c r="I389" i="2"/>
  <c r="D9" i="7"/>
  <c r="D11" i="7" s="1"/>
  <c r="D46" i="7"/>
  <c r="D69" i="7"/>
  <c r="D86" i="7"/>
  <c r="D104" i="7"/>
  <c r="D119" i="7" s="1"/>
  <c r="E120" i="7"/>
  <c r="G120" i="7" s="1"/>
  <c r="E118" i="7"/>
  <c r="G118" i="7" s="1"/>
  <c r="E115" i="7"/>
  <c r="G115" i="7" s="1"/>
  <c r="I115" i="7" s="1"/>
  <c r="E114" i="7"/>
  <c r="G114" i="7" s="1"/>
  <c r="I114" i="7" s="1"/>
  <c r="E113" i="7"/>
  <c r="G113" i="7" s="1"/>
  <c r="I113" i="7" s="1"/>
  <c r="E112" i="7"/>
  <c r="G112" i="7" s="1"/>
  <c r="I112" i="7" s="1"/>
  <c r="E111" i="7"/>
  <c r="G111" i="7" s="1"/>
  <c r="I111" i="7" s="1"/>
  <c r="E110" i="7"/>
  <c r="G110" i="7" s="1"/>
  <c r="I110" i="7" s="1"/>
  <c r="E109" i="7"/>
  <c r="G109" i="7" s="1"/>
  <c r="I109" i="7" s="1"/>
  <c r="E108" i="7"/>
  <c r="G108" i="7" s="1"/>
  <c r="I108" i="7" s="1"/>
  <c r="E107" i="7"/>
  <c r="G107" i="7" s="1"/>
  <c r="E106" i="7"/>
  <c r="G106" i="7" s="1"/>
  <c r="E105" i="7"/>
  <c r="G105" i="7" s="1"/>
  <c r="E103" i="7"/>
  <c r="G103" i="7" s="1"/>
  <c r="E102" i="7"/>
  <c r="G102" i="7" s="1"/>
  <c r="I102" i="7" s="1"/>
  <c r="E101" i="7"/>
  <c r="G101" i="7" s="1"/>
  <c r="I101" i="7" s="1"/>
  <c r="E100" i="7"/>
  <c r="G100" i="7" s="1"/>
  <c r="I100" i="7" s="1"/>
  <c r="E99" i="7"/>
  <c r="G99" i="7" s="1"/>
  <c r="I99" i="7" s="1"/>
  <c r="E98" i="7"/>
  <c r="G98" i="7" s="1"/>
  <c r="I98" i="7" s="1"/>
  <c r="E97" i="7"/>
  <c r="G97" i="7" s="1"/>
  <c r="I97" i="7" s="1"/>
  <c r="E96" i="7"/>
  <c r="G96" i="7" s="1"/>
  <c r="I96" i="7" s="1"/>
  <c r="E95" i="7"/>
  <c r="G95" i="7" s="1"/>
  <c r="I95" i="7" s="1"/>
  <c r="E94" i="7"/>
  <c r="G94" i="7" s="1"/>
  <c r="I94" i="7" s="1"/>
  <c r="E93" i="7"/>
  <c r="G93" i="7" s="1"/>
  <c r="I93" i="7" s="1"/>
  <c r="E92" i="7"/>
  <c r="G92" i="7" s="1"/>
  <c r="I92" i="7" s="1"/>
  <c r="E91" i="7"/>
  <c r="G91" i="7" s="1"/>
  <c r="I91" i="7" s="1"/>
  <c r="E90" i="7"/>
  <c r="G90" i="7" s="1"/>
  <c r="I90" i="7" s="1"/>
  <c r="E89" i="7"/>
  <c r="G89" i="7" s="1"/>
  <c r="E88" i="7"/>
  <c r="G88" i="7" s="1"/>
  <c r="E87" i="7"/>
  <c r="G87" i="7" s="1"/>
  <c r="E85" i="7"/>
  <c r="G85" i="7" s="1"/>
  <c r="E84" i="7"/>
  <c r="G84" i="7" s="1"/>
  <c r="I84" i="7" s="1"/>
  <c r="E83" i="7"/>
  <c r="G83" i="7" s="1"/>
  <c r="E82" i="7"/>
  <c r="G82" i="7" s="1"/>
  <c r="E81" i="7"/>
  <c r="G81" i="7" s="1"/>
  <c r="E80" i="7"/>
  <c r="G80" i="7" s="1"/>
  <c r="E79" i="7"/>
  <c r="G79" i="7" s="1"/>
  <c r="E70" i="7"/>
  <c r="G70" i="7" s="1"/>
  <c r="E68" i="7"/>
  <c r="G68" i="7" s="1"/>
  <c r="I68" i="7" s="1"/>
  <c r="E67" i="7"/>
  <c r="G67" i="7" s="1"/>
  <c r="I67" i="7" s="1"/>
  <c r="E66" i="7"/>
  <c r="G66" i="7" s="1"/>
  <c r="I66" i="7" s="1"/>
  <c r="E65" i="7"/>
  <c r="G65" i="7" s="1"/>
  <c r="I65" i="7" s="1"/>
  <c r="E64" i="7"/>
  <c r="G64" i="7" s="1"/>
  <c r="I64" i="7" s="1"/>
  <c r="E63" i="7"/>
  <c r="G63" i="7" s="1"/>
  <c r="I63" i="7" s="1"/>
  <c r="E62" i="7"/>
  <c r="G62" i="7" s="1"/>
  <c r="I62" i="7" s="1"/>
  <c r="E61" i="7"/>
  <c r="G61" i="7" s="1"/>
  <c r="I61" i="7" s="1"/>
  <c r="E60" i="7"/>
  <c r="G60" i="7" s="1"/>
  <c r="I60" i="7" s="1"/>
  <c r="E59" i="7"/>
  <c r="G59" i="7" s="1"/>
  <c r="I59" i="7" s="1"/>
  <c r="E58" i="7"/>
  <c r="G58" i="7" s="1"/>
  <c r="I58" i="7" s="1"/>
  <c r="E57" i="7"/>
  <c r="G57" i="7" s="1"/>
  <c r="I57" i="7" s="1"/>
  <c r="E56" i="7"/>
  <c r="G56" i="7" s="1"/>
  <c r="I56" i="7" s="1"/>
  <c r="E55" i="7"/>
  <c r="G55" i="7" s="1"/>
  <c r="I55" i="7" s="1"/>
  <c r="E54" i="7"/>
  <c r="G54" i="7" s="1"/>
  <c r="I54" i="7" s="1"/>
  <c r="E53" i="7"/>
  <c r="G53" i="7" s="1"/>
  <c r="I53" i="7" s="1"/>
  <c r="E52" i="7"/>
  <c r="G52" i="7" s="1"/>
  <c r="I52" i="7" s="1"/>
  <c r="E51" i="7"/>
  <c r="E50" i="7"/>
  <c r="E49" i="7"/>
  <c r="G49" i="7" s="1"/>
  <c r="I49" i="7" s="1"/>
  <c r="E48" i="7"/>
  <c r="G48" i="7" s="1"/>
  <c r="E47" i="7"/>
  <c r="G47" i="7" s="1"/>
  <c r="E45" i="7"/>
  <c r="G45" i="7" s="1"/>
  <c r="I45" i="7" s="1"/>
  <c r="E44" i="7"/>
  <c r="G44" i="7" s="1"/>
  <c r="I44" i="7" s="1"/>
  <c r="E43" i="7"/>
  <c r="G43" i="7" s="1"/>
  <c r="I43" i="7" s="1"/>
  <c r="E42" i="7"/>
  <c r="G42" i="7" s="1"/>
  <c r="I42" i="7" s="1"/>
  <c r="E41" i="7"/>
  <c r="G41" i="7" s="1"/>
  <c r="I41" i="7" s="1"/>
  <c r="E40" i="7"/>
  <c r="G40" i="7" s="1"/>
  <c r="I40" i="7" s="1"/>
  <c r="E38" i="7"/>
  <c r="G38" i="7" s="1"/>
  <c r="I38" i="7" s="1"/>
  <c r="E37" i="7"/>
  <c r="G37" i="7" s="1"/>
  <c r="I37" i="7" s="1"/>
  <c r="E36" i="7"/>
  <c r="G36" i="7" s="1"/>
  <c r="I36" i="7" s="1"/>
  <c r="E35" i="7"/>
  <c r="G35" i="7" s="1"/>
  <c r="I35" i="7" s="1"/>
  <c r="E34" i="7"/>
  <c r="G34" i="7" s="1"/>
  <c r="I34" i="7" s="1"/>
  <c r="E33" i="7"/>
  <c r="G33" i="7" s="1"/>
  <c r="I33" i="7" s="1"/>
  <c r="E30" i="7"/>
  <c r="G30" i="7" s="1"/>
  <c r="I30" i="7" s="1"/>
  <c r="E29" i="7"/>
  <c r="G29" i="7" s="1"/>
  <c r="I29" i="7" s="1"/>
  <c r="E28" i="7"/>
  <c r="G28" i="7" s="1"/>
  <c r="I28" i="7" s="1"/>
  <c r="E26" i="7"/>
  <c r="G26" i="7" s="1"/>
  <c r="I26" i="7" s="1"/>
  <c r="E25" i="7"/>
  <c r="G25" i="7" s="1"/>
  <c r="I25" i="7" s="1"/>
  <c r="E24" i="7"/>
  <c r="G24" i="7" s="1"/>
  <c r="I24" i="7" s="1"/>
  <c r="E23" i="7"/>
  <c r="G23" i="7" s="1"/>
  <c r="I23" i="7" s="1"/>
  <c r="E22" i="7"/>
  <c r="G22" i="7" s="1"/>
  <c r="I22" i="7" s="1"/>
  <c r="E21" i="7"/>
  <c r="G21" i="7" s="1"/>
  <c r="I21" i="7" s="1"/>
  <c r="E20" i="7"/>
  <c r="G20" i="7" s="1"/>
  <c r="I20" i="7" s="1"/>
  <c r="E19" i="7"/>
  <c r="G19" i="7" s="1"/>
  <c r="I19" i="7" s="1"/>
  <c r="E18" i="7"/>
  <c r="G18" i="7" s="1"/>
  <c r="I18" i="7" s="1"/>
  <c r="E17" i="7"/>
  <c r="G17" i="7" s="1"/>
  <c r="I17" i="7" s="1"/>
  <c r="E16" i="7"/>
  <c r="G16" i="7" s="1"/>
  <c r="I16" i="7" s="1"/>
  <c r="E15" i="7"/>
  <c r="G15" i="7" s="1"/>
  <c r="I15" i="7" s="1"/>
  <c r="E8" i="7"/>
  <c r="D120" i="6"/>
  <c r="D134" i="6" s="1"/>
  <c r="E119" i="6"/>
  <c r="G119" i="6" s="1"/>
  <c r="I119" i="6" s="1"/>
  <c r="E106" i="6"/>
  <c r="G106" i="6" s="1"/>
  <c r="I106" i="6" s="1"/>
  <c r="E105" i="6"/>
  <c r="G105" i="6" s="1"/>
  <c r="I105" i="6" s="1"/>
  <c r="E104" i="6"/>
  <c r="G104" i="6" s="1"/>
  <c r="I104" i="6" s="1"/>
  <c r="E103" i="6"/>
  <c r="G103" i="6" s="1"/>
  <c r="I103" i="6" s="1"/>
  <c r="E100" i="6"/>
  <c r="G100" i="6" s="1"/>
  <c r="I100" i="6" s="1"/>
  <c r="E99" i="6"/>
  <c r="G99" i="6" s="1"/>
  <c r="I99" i="6" s="1"/>
  <c r="E97" i="6"/>
  <c r="G97" i="6" s="1"/>
  <c r="I97" i="6" s="1"/>
  <c r="E96" i="6"/>
  <c r="G96" i="6" s="1"/>
  <c r="I96" i="6" s="1"/>
  <c r="E95" i="6"/>
  <c r="G95" i="6" s="1"/>
  <c r="I95" i="6" s="1"/>
  <c r="E94" i="6"/>
  <c r="G94" i="6" s="1"/>
  <c r="I94" i="6" s="1"/>
  <c r="D87" i="6"/>
  <c r="D89" i="6" s="1"/>
  <c r="E9" i="6"/>
  <c r="E10" i="6"/>
  <c r="G10" i="6" s="1"/>
  <c r="I10" i="6" s="1"/>
  <c r="E11" i="6"/>
  <c r="G11" i="6" s="1"/>
  <c r="I11" i="6" s="1"/>
  <c r="E12" i="6"/>
  <c r="G12" i="6" s="1"/>
  <c r="I12" i="6" s="1"/>
  <c r="E13" i="6"/>
  <c r="G13" i="6" s="1"/>
  <c r="I13" i="6" s="1"/>
  <c r="E14" i="6"/>
  <c r="G14" i="6" s="1"/>
  <c r="I14" i="6" s="1"/>
  <c r="E15" i="6"/>
  <c r="G15" i="6" s="1"/>
  <c r="I15" i="6" s="1"/>
  <c r="E16" i="6"/>
  <c r="G16" i="6" s="1"/>
  <c r="I16" i="6" s="1"/>
  <c r="E17" i="6"/>
  <c r="G17" i="6" s="1"/>
  <c r="I17" i="6" s="1"/>
  <c r="E18" i="6"/>
  <c r="G18" i="6" s="1"/>
  <c r="I18" i="6" s="1"/>
  <c r="E19" i="6"/>
  <c r="G19" i="6" s="1"/>
  <c r="I19" i="6" s="1"/>
  <c r="E20" i="6"/>
  <c r="G20" i="6" s="1"/>
  <c r="I20" i="6" s="1"/>
  <c r="E21" i="6"/>
  <c r="G21" i="6" s="1"/>
  <c r="I21" i="6" s="1"/>
  <c r="E22" i="6"/>
  <c r="G22" i="6" s="1"/>
  <c r="I22" i="6" s="1"/>
  <c r="E23" i="6"/>
  <c r="G23" i="6" s="1"/>
  <c r="I23" i="6" s="1"/>
  <c r="E24" i="6"/>
  <c r="G24" i="6" s="1"/>
  <c r="I24" i="6" s="1"/>
  <c r="E25" i="6"/>
  <c r="G25" i="6" s="1"/>
  <c r="I25" i="6" s="1"/>
  <c r="E26" i="6"/>
  <c r="G26" i="6" s="1"/>
  <c r="I26" i="6" s="1"/>
  <c r="E27" i="6"/>
  <c r="G27" i="6" s="1"/>
  <c r="I27" i="6" s="1"/>
  <c r="E28" i="6"/>
  <c r="G28" i="6" s="1"/>
  <c r="I28" i="6" s="1"/>
  <c r="E29" i="6"/>
  <c r="G29" i="6" s="1"/>
  <c r="I29" i="6" s="1"/>
  <c r="E30" i="6"/>
  <c r="G30" i="6" s="1"/>
  <c r="I30" i="6" s="1"/>
  <c r="E31" i="6"/>
  <c r="G31" i="6" s="1"/>
  <c r="I31" i="6" s="1"/>
  <c r="E32" i="6"/>
  <c r="G32" i="6" s="1"/>
  <c r="I32" i="6" s="1"/>
  <c r="E33" i="6"/>
  <c r="G33" i="6" s="1"/>
  <c r="I33" i="6" s="1"/>
  <c r="E35" i="6"/>
  <c r="G35" i="6" s="1"/>
  <c r="I35" i="6" s="1"/>
  <c r="E36" i="6"/>
  <c r="G36" i="6" s="1"/>
  <c r="I36" i="6" s="1"/>
  <c r="E37" i="6"/>
  <c r="G37" i="6" s="1"/>
  <c r="I37" i="6" s="1"/>
  <c r="E43" i="6"/>
  <c r="G43" i="6" s="1"/>
  <c r="I43" i="6" s="1"/>
  <c r="E44" i="6"/>
  <c r="G44" i="6" s="1"/>
  <c r="I44" i="6" s="1"/>
  <c r="E45" i="6"/>
  <c r="G45" i="6" s="1"/>
  <c r="I45" i="6" s="1"/>
  <c r="E46" i="6"/>
  <c r="G46" i="6" s="1"/>
  <c r="I46" i="6" s="1"/>
  <c r="E47" i="6"/>
  <c r="G47" i="6" s="1"/>
  <c r="I47" i="6" s="1"/>
  <c r="E48" i="6"/>
  <c r="G48" i="6" s="1"/>
  <c r="I48" i="6" s="1"/>
  <c r="E56" i="6"/>
  <c r="G56" i="6" s="1"/>
  <c r="I56" i="6" s="1"/>
  <c r="E57" i="6"/>
  <c r="G57" i="6" s="1"/>
  <c r="I57" i="6" s="1"/>
  <c r="E58" i="6"/>
  <c r="G58" i="6" s="1"/>
  <c r="I58" i="6" s="1"/>
  <c r="E59" i="6"/>
  <c r="G59" i="6" s="1"/>
  <c r="I59" i="6" s="1"/>
  <c r="E60" i="6"/>
  <c r="G60" i="6" s="1"/>
  <c r="I60" i="6" s="1"/>
  <c r="E61" i="6"/>
  <c r="G61" i="6" s="1"/>
  <c r="I61" i="6" s="1"/>
  <c r="E62" i="6"/>
  <c r="G62" i="6" s="1"/>
  <c r="I62" i="6" s="1"/>
  <c r="E63" i="6"/>
  <c r="G63" i="6" s="1"/>
  <c r="I63" i="6" s="1"/>
  <c r="E64" i="6"/>
  <c r="G64" i="6" s="1"/>
  <c r="I64" i="6" s="1"/>
  <c r="E65" i="6"/>
  <c r="G65" i="6" s="1"/>
  <c r="I65" i="6" s="1"/>
  <c r="E69" i="6"/>
  <c r="G69" i="6" s="1"/>
  <c r="E70" i="6"/>
  <c r="G70" i="6" s="1"/>
  <c r="E71" i="6"/>
  <c r="G71" i="6" s="1"/>
  <c r="I71" i="6" s="1"/>
  <c r="E72" i="6"/>
  <c r="G72" i="6" s="1"/>
  <c r="I72" i="6" s="1"/>
  <c r="E73" i="6"/>
  <c r="G73" i="6" s="1"/>
  <c r="I73" i="6" s="1"/>
  <c r="E74" i="6"/>
  <c r="G74" i="6" s="1"/>
  <c r="I74" i="6" s="1"/>
  <c r="E75" i="6"/>
  <c r="G75" i="6" s="1"/>
  <c r="I75" i="6" s="1"/>
  <c r="E76" i="6"/>
  <c r="G76" i="6" s="1"/>
  <c r="I76" i="6" s="1"/>
  <c r="E77" i="6"/>
  <c r="G77" i="6" s="1"/>
  <c r="I77" i="6" s="1"/>
  <c r="E78" i="6"/>
  <c r="G78" i="6" s="1"/>
  <c r="I78" i="6" s="1"/>
  <c r="E79" i="6"/>
  <c r="G79" i="6" s="1"/>
  <c r="I79" i="6" s="1"/>
  <c r="E80" i="6"/>
  <c r="G80" i="6" s="1"/>
  <c r="I80" i="6" s="1"/>
  <c r="E81" i="6"/>
  <c r="G81" i="6" s="1"/>
  <c r="I81" i="6" s="1"/>
  <c r="E82" i="6"/>
  <c r="G82" i="6" s="1"/>
  <c r="I82" i="6" s="1"/>
  <c r="E83" i="6"/>
  <c r="G83" i="6" s="1"/>
  <c r="I83" i="6" s="1"/>
  <c r="E84" i="6"/>
  <c r="G84" i="6" s="1"/>
  <c r="I84" i="6" s="1"/>
  <c r="E85" i="6"/>
  <c r="G85" i="6" s="1"/>
  <c r="I85" i="6" s="1"/>
  <c r="E86" i="6"/>
  <c r="G86" i="6" s="1"/>
  <c r="I86" i="6" s="1"/>
  <c r="E8" i="6"/>
  <c r="G8" i="6" s="1"/>
  <c r="I8" i="6" s="1"/>
  <c r="D41" i="5"/>
  <c r="E40" i="5"/>
  <c r="G40" i="5" s="1"/>
  <c r="I40" i="5" s="1"/>
  <c r="E39" i="5"/>
  <c r="G39" i="5" s="1"/>
  <c r="I39" i="5" s="1"/>
  <c r="E38" i="5"/>
  <c r="G38" i="5" s="1"/>
  <c r="I38" i="5" s="1"/>
  <c r="E37" i="5"/>
  <c r="G37" i="5" s="1"/>
  <c r="I37" i="5" s="1"/>
  <c r="E36" i="5"/>
  <c r="G36" i="5" s="1"/>
  <c r="I36" i="5" s="1"/>
  <c r="E35" i="5"/>
  <c r="G35" i="5" s="1"/>
  <c r="I35" i="5" s="1"/>
  <c r="E34" i="5"/>
  <c r="G34" i="5" s="1"/>
  <c r="I34" i="5" s="1"/>
  <c r="E33" i="5"/>
  <c r="G33" i="5" s="1"/>
  <c r="I33" i="5" s="1"/>
  <c r="E32" i="5"/>
  <c r="G32" i="5" s="1"/>
  <c r="I32" i="5" s="1"/>
  <c r="E31" i="5"/>
  <c r="G31" i="5" s="1"/>
  <c r="I31" i="5" s="1"/>
  <c r="E30" i="5"/>
  <c r="G30" i="5" s="1"/>
  <c r="I30" i="5" s="1"/>
  <c r="E29" i="5"/>
  <c r="G29" i="5" s="1"/>
  <c r="I29" i="5" s="1"/>
  <c r="E28" i="5"/>
  <c r="G28" i="5" s="1"/>
  <c r="I28" i="5" s="1"/>
  <c r="E27" i="5"/>
  <c r="G27" i="5" s="1"/>
  <c r="I27" i="5" s="1"/>
  <c r="E26" i="5"/>
  <c r="G26" i="5" s="1"/>
  <c r="I26" i="5" s="1"/>
  <c r="E25" i="5"/>
  <c r="G25" i="5" s="1"/>
  <c r="I25" i="5" s="1"/>
  <c r="E24" i="5"/>
  <c r="G24" i="5" s="1"/>
  <c r="I24" i="5" s="1"/>
  <c r="E23" i="5"/>
  <c r="G23" i="5" s="1"/>
  <c r="I23" i="5" s="1"/>
  <c r="E22" i="5"/>
  <c r="G22" i="5" s="1"/>
  <c r="I22" i="5" s="1"/>
  <c r="E21" i="5"/>
  <c r="G21" i="5" s="1"/>
  <c r="I21" i="5" s="1"/>
  <c r="D18" i="5"/>
  <c r="E8" i="5"/>
  <c r="G8" i="5" s="1"/>
  <c r="I8" i="5" s="1"/>
  <c r="E9" i="5"/>
  <c r="E10" i="5"/>
  <c r="G10" i="5" s="1"/>
  <c r="I10" i="5" s="1"/>
  <c r="E11" i="5"/>
  <c r="G11" i="5" s="1"/>
  <c r="I11" i="5" s="1"/>
  <c r="E12" i="5"/>
  <c r="G12" i="5" s="1"/>
  <c r="I12" i="5" s="1"/>
  <c r="E13" i="5"/>
  <c r="G13" i="5" s="1"/>
  <c r="I13" i="5" s="1"/>
  <c r="E14" i="5"/>
  <c r="G14" i="5" s="1"/>
  <c r="I14" i="5" s="1"/>
  <c r="E15" i="5"/>
  <c r="G15" i="5" s="1"/>
  <c r="I15" i="5" s="1"/>
  <c r="E16" i="5"/>
  <c r="G16" i="5" s="1"/>
  <c r="I16" i="5" s="1"/>
  <c r="E17" i="5"/>
  <c r="G17" i="5" s="1"/>
  <c r="I17" i="5" s="1"/>
  <c r="E7" i="5"/>
  <c r="G7" i="5" s="1"/>
  <c r="I7" i="5" s="1"/>
  <c r="D48" i="4"/>
  <c r="D71" i="4"/>
  <c r="D67" i="4"/>
  <c r="D92" i="4"/>
  <c r="D107" i="4" s="1"/>
  <c r="D152" i="4"/>
  <c r="D167" i="4" s="1"/>
  <c r="D176" i="4"/>
  <c r="D191" i="4" s="1"/>
  <c r="E194" i="4"/>
  <c r="G194" i="4" s="1"/>
  <c r="E192" i="4"/>
  <c r="G192" i="4" s="1"/>
  <c r="E190" i="4"/>
  <c r="G190" i="4" s="1"/>
  <c r="E188" i="4"/>
  <c r="G188" i="4" s="1"/>
  <c r="I188" i="4" s="1"/>
  <c r="E187" i="4"/>
  <c r="G187" i="4" s="1"/>
  <c r="I187" i="4" s="1"/>
  <c r="E186" i="4"/>
  <c r="G186" i="4" s="1"/>
  <c r="I186" i="4" s="1"/>
  <c r="E185" i="4"/>
  <c r="G185" i="4" s="1"/>
  <c r="I185" i="4" s="1"/>
  <c r="E184" i="4"/>
  <c r="G184" i="4" s="1"/>
  <c r="I184" i="4" s="1"/>
  <c r="E183" i="4"/>
  <c r="G183" i="4" s="1"/>
  <c r="I183" i="4" s="1"/>
  <c r="E182" i="4"/>
  <c r="G182" i="4" s="1"/>
  <c r="I182" i="4" s="1"/>
  <c r="E181" i="4"/>
  <c r="G181" i="4" s="1"/>
  <c r="I181" i="4" s="1"/>
  <c r="E180" i="4"/>
  <c r="G180" i="4" s="1"/>
  <c r="I180" i="4" s="1"/>
  <c r="E179" i="4"/>
  <c r="E178" i="4"/>
  <c r="G178" i="4" s="1"/>
  <c r="E177" i="4"/>
  <c r="G177" i="4" s="1"/>
  <c r="E175" i="4"/>
  <c r="G175" i="4" s="1"/>
  <c r="I175" i="4" s="1"/>
  <c r="E174" i="4"/>
  <c r="G174" i="4" s="1"/>
  <c r="I174" i="4" s="1"/>
  <c r="E173" i="4"/>
  <c r="G173" i="4" s="1"/>
  <c r="E172" i="4"/>
  <c r="G172" i="4" s="1"/>
  <c r="E171" i="4"/>
  <c r="G171" i="4" s="1"/>
  <c r="E170" i="4"/>
  <c r="G170" i="4" s="1"/>
  <c r="E169" i="4"/>
  <c r="G169" i="4" s="1"/>
  <c r="E168" i="4"/>
  <c r="G168" i="4" s="1"/>
  <c r="E166" i="4"/>
  <c r="G166" i="4" s="1"/>
  <c r="E164" i="4"/>
  <c r="G164" i="4" s="1"/>
  <c r="I164" i="4" s="1"/>
  <c r="E163" i="4"/>
  <c r="G163" i="4" s="1"/>
  <c r="I163" i="4" s="1"/>
  <c r="E162" i="4"/>
  <c r="G162" i="4" s="1"/>
  <c r="I162" i="4" s="1"/>
  <c r="E161" i="4"/>
  <c r="G161" i="4" s="1"/>
  <c r="I161" i="4" s="1"/>
  <c r="E160" i="4"/>
  <c r="G160" i="4" s="1"/>
  <c r="I160" i="4" s="1"/>
  <c r="E159" i="4"/>
  <c r="G159" i="4" s="1"/>
  <c r="I159" i="4" s="1"/>
  <c r="E158" i="4"/>
  <c r="G158" i="4" s="1"/>
  <c r="I158" i="4" s="1"/>
  <c r="E157" i="4"/>
  <c r="G157" i="4" s="1"/>
  <c r="I157" i="4" s="1"/>
  <c r="E156" i="4"/>
  <c r="G156" i="4" s="1"/>
  <c r="I156" i="4" s="1"/>
  <c r="E155" i="4"/>
  <c r="E154" i="4"/>
  <c r="G154" i="4" s="1"/>
  <c r="E153" i="4"/>
  <c r="G153" i="4" s="1"/>
  <c r="E148" i="4"/>
  <c r="G148" i="4" s="1"/>
  <c r="I148" i="4" s="1"/>
  <c r="E147" i="4"/>
  <c r="G147" i="4" s="1"/>
  <c r="I147" i="4" s="1"/>
  <c r="E146" i="4"/>
  <c r="G146" i="4" s="1"/>
  <c r="I146" i="4" s="1"/>
  <c r="E145" i="4"/>
  <c r="G145" i="4" s="1"/>
  <c r="I145" i="4" s="1"/>
  <c r="E144" i="4"/>
  <c r="G144" i="4" s="1"/>
  <c r="I144" i="4" s="1"/>
  <c r="E143" i="4"/>
  <c r="G143" i="4" s="1"/>
  <c r="I143" i="4" s="1"/>
  <c r="E142" i="4"/>
  <c r="G142" i="4" s="1"/>
  <c r="I142" i="4" s="1"/>
  <c r="E141" i="4"/>
  <c r="G141" i="4" s="1"/>
  <c r="I141" i="4" s="1"/>
  <c r="E140" i="4"/>
  <c r="G140" i="4" s="1"/>
  <c r="I140" i="4" s="1"/>
  <c r="E139" i="4"/>
  <c r="G139" i="4" s="1"/>
  <c r="I139" i="4" s="1"/>
  <c r="E138" i="4"/>
  <c r="G138" i="4" s="1"/>
  <c r="I138" i="4" s="1"/>
  <c r="E137" i="4"/>
  <c r="G137" i="4" s="1"/>
  <c r="I137" i="4" s="1"/>
  <c r="E136" i="4"/>
  <c r="G136" i="4" s="1"/>
  <c r="I136" i="4" s="1"/>
  <c r="E135" i="4"/>
  <c r="G135" i="4" s="1"/>
  <c r="I135" i="4" s="1"/>
  <c r="E134" i="4"/>
  <c r="G134" i="4" s="1"/>
  <c r="I134" i="4" s="1"/>
  <c r="E133" i="4"/>
  <c r="G133" i="4" s="1"/>
  <c r="I133" i="4" s="1"/>
  <c r="E132" i="4"/>
  <c r="G132" i="4" s="1"/>
  <c r="I132" i="4" s="1"/>
  <c r="E131" i="4"/>
  <c r="G131" i="4" s="1"/>
  <c r="I131" i="4" s="1"/>
  <c r="E130" i="4"/>
  <c r="G130" i="4" s="1"/>
  <c r="I130" i="4" s="1"/>
  <c r="E129" i="4"/>
  <c r="G129" i="4" s="1"/>
  <c r="I129" i="4" s="1"/>
  <c r="E128" i="4"/>
  <c r="G128" i="4" s="1"/>
  <c r="I128" i="4" s="1"/>
  <c r="E127" i="4"/>
  <c r="G127" i="4" s="1"/>
  <c r="I127" i="4" s="1"/>
  <c r="E126" i="4"/>
  <c r="G126" i="4" s="1"/>
  <c r="I126" i="4" s="1"/>
  <c r="E125" i="4"/>
  <c r="G125" i="4" s="1"/>
  <c r="I125" i="4" s="1"/>
  <c r="E124" i="4"/>
  <c r="G124" i="4" s="1"/>
  <c r="I124" i="4" s="1"/>
  <c r="E123" i="4"/>
  <c r="G123" i="4" s="1"/>
  <c r="I123" i="4" s="1"/>
  <c r="E122" i="4"/>
  <c r="G122" i="4" s="1"/>
  <c r="I122" i="4" s="1"/>
  <c r="E121" i="4"/>
  <c r="G121" i="4" s="1"/>
  <c r="I121" i="4" s="1"/>
  <c r="E120" i="4"/>
  <c r="G120" i="4" s="1"/>
  <c r="I120" i="4" s="1"/>
  <c r="E119" i="4"/>
  <c r="G119" i="4" s="1"/>
  <c r="I119" i="4" s="1"/>
  <c r="E118" i="4"/>
  <c r="G118" i="4" s="1"/>
  <c r="I118" i="4" s="1"/>
  <c r="E117" i="4"/>
  <c r="G117" i="4" s="1"/>
  <c r="I117" i="4" s="1"/>
  <c r="E116" i="4"/>
  <c r="G116" i="4" s="1"/>
  <c r="I116" i="4" s="1"/>
  <c r="E115" i="4"/>
  <c r="G115" i="4" s="1"/>
  <c r="I115" i="4" s="1"/>
  <c r="E114" i="4"/>
  <c r="G114" i="4" s="1"/>
  <c r="I114" i="4" s="1"/>
  <c r="E113" i="4"/>
  <c r="G113" i="4" s="1"/>
  <c r="E112" i="4"/>
  <c r="G112" i="4" s="1"/>
  <c r="E111" i="4"/>
  <c r="G111" i="4" s="1"/>
  <c r="E110" i="4"/>
  <c r="G110" i="4" s="1"/>
  <c r="E109" i="4"/>
  <c r="G109" i="4" s="1"/>
  <c r="E108" i="4"/>
  <c r="G108" i="4" s="1"/>
  <c r="E106" i="4"/>
  <c r="G106" i="4" s="1"/>
  <c r="E104" i="4"/>
  <c r="G104" i="4" s="1"/>
  <c r="I104" i="4" s="1"/>
  <c r="E103" i="4"/>
  <c r="G103" i="4" s="1"/>
  <c r="I103" i="4" s="1"/>
  <c r="E102" i="4"/>
  <c r="G102" i="4" s="1"/>
  <c r="I102" i="4" s="1"/>
  <c r="E101" i="4"/>
  <c r="G101" i="4" s="1"/>
  <c r="I101" i="4" s="1"/>
  <c r="E100" i="4"/>
  <c r="G100" i="4" s="1"/>
  <c r="I100" i="4" s="1"/>
  <c r="E99" i="4"/>
  <c r="G99" i="4" s="1"/>
  <c r="I99" i="4" s="1"/>
  <c r="E98" i="4"/>
  <c r="G98" i="4" s="1"/>
  <c r="I98" i="4" s="1"/>
  <c r="E97" i="4"/>
  <c r="G97" i="4" s="1"/>
  <c r="I97" i="4" s="1"/>
  <c r="E96" i="4"/>
  <c r="G96" i="4" s="1"/>
  <c r="I96" i="4" s="1"/>
  <c r="E95" i="4"/>
  <c r="E94" i="4"/>
  <c r="G94" i="4" s="1"/>
  <c r="E93" i="4"/>
  <c r="G93" i="4" s="1"/>
  <c r="E91" i="4"/>
  <c r="G91" i="4" s="1"/>
  <c r="I91" i="4" s="1"/>
  <c r="E90" i="4"/>
  <c r="G90" i="4" s="1"/>
  <c r="I90" i="4" s="1"/>
  <c r="E89" i="4"/>
  <c r="G89" i="4" s="1"/>
  <c r="I89" i="4" s="1"/>
  <c r="E88" i="4"/>
  <c r="G88" i="4" s="1"/>
  <c r="I88" i="4" s="1"/>
  <c r="E87" i="4"/>
  <c r="G87" i="4" s="1"/>
  <c r="I87" i="4" s="1"/>
  <c r="E86" i="4"/>
  <c r="G86" i="4" s="1"/>
  <c r="I86" i="4" s="1"/>
  <c r="E84" i="4"/>
  <c r="G84" i="4" s="1"/>
  <c r="I84" i="4" s="1"/>
  <c r="E83" i="4"/>
  <c r="G83" i="4" s="1"/>
  <c r="I83" i="4" s="1"/>
  <c r="E82" i="4"/>
  <c r="G82" i="4" s="1"/>
  <c r="I82" i="4" s="1"/>
  <c r="E81" i="4"/>
  <c r="G81" i="4" s="1"/>
  <c r="I81" i="4" s="1"/>
  <c r="E80" i="4"/>
  <c r="G80" i="4" s="1"/>
  <c r="I80" i="4" s="1"/>
  <c r="E79" i="4"/>
  <c r="G79" i="4" s="1"/>
  <c r="I79" i="4" s="1"/>
  <c r="E78" i="4"/>
  <c r="G78" i="4" s="1"/>
  <c r="E77" i="4"/>
  <c r="G77" i="4" s="1"/>
  <c r="E76" i="4"/>
  <c r="G76" i="4" s="1"/>
  <c r="E75" i="4"/>
  <c r="G75" i="4" s="1"/>
  <c r="E74" i="4"/>
  <c r="G74" i="4" s="1"/>
  <c r="E72" i="4"/>
  <c r="G72" i="4" s="1"/>
  <c r="E70" i="4"/>
  <c r="E69" i="4"/>
  <c r="G69" i="4" s="1"/>
  <c r="E68" i="4"/>
  <c r="G68" i="4" s="1"/>
  <c r="E66" i="4"/>
  <c r="G66" i="4" s="1"/>
  <c r="I66" i="4" s="1"/>
  <c r="E65" i="4"/>
  <c r="G65" i="4" s="1"/>
  <c r="I65" i="4" s="1"/>
  <c r="E64" i="4"/>
  <c r="G64" i="4" s="1"/>
  <c r="I64" i="4" s="1"/>
  <c r="E63" i="4"/>
  <c r="G63" i="4" s="1"/>
  <c r="I63" i="4" s="1"/>
  <c r="E62" i="4"/>
  <c r="G62" i="4" s="1"/>
  <c r="I62" i="4" s="1"/>
  <c r="E61" i="4"/>
  <c r="G61" i="4" s="1"/>
  <c r="I61" i="4" s="1"/>
  <c r="E60" i="4"/>
  <c r="G60" i="4" s="1"/>
  <c r="I60" i="4" s="1"/>
  <c r="E59" i="4"/>
  <c r="G59" i="4" s="1"/>
  <c r="I59" i="4" s="1"/>
  <c r="E58" i="4"/>
  <c r="G58" i="4" s="1"/>
  <c r="I58" i="4" s="1"/>
  <c r="E57" i="4"/>
  <c r="G57" i="4" s="1"/>
  <c r="I57" i="4" s="1"/>
  <c r="E56" i="4"/>
  <c r="G56" i="4" s="1"/>
  <c r="I56" i="4" s="1"/>
  <c r="E55" i="4"/>
  <c r="G55" i="4" s="1"/>
  <c r="I55" i="4" s="1"/>
  <c r="E54" i="4"/>
  <c r="G54" i="4" s="1"/>
  <c r="I54" i="4" s="1"/>
  <c r="E53" i="4"/>
  <c r="G53" i="4" s="1"/>
  <c r="I53" i="4" s="1"/>
  <c r="E52" i="4"/>
  <c r="G52" i="4" s="1"/>
  <c r="I52" i="4" s="1"/>
  <c r="E51" i="4"/>
  <c r="G51" i="4" s="1"/>
  <c r="I51" i="4" s="1"/>
  <c r="E50" i="4"/>
  <c r="G50" i="4" s="1"/>
  <c r="E49" i="4"/>
  <c r="E47" i="4"/>
  <c r="G47" i="4" s="1"/>
  <c r="I47" i="4" s="1"/>
  <c r="E46" i="4"/>
  <c r="G46" i="4" s="1"/>
  <c r="I46" i="4" s="1"/>
  <c r="E44" i="4"/>
  <c r="G44" i="4" s="1"/>
  <c r="I44" i="4" s="1"/>
  <c r="E43" i="4"/>
  <c r="G43" i="4" s="1"/>
  <c r="I43" i="4" s="1"/>
  <c r="E42" i="4"/>
  <c r="G42" i="4" s="1"/>
  <c r="I42" i="4" s="1"/>
  <c r="E41" i="4"/>
  <c r="G41" i="4" s="1"/>
  <c r="I41" i="4" s="1"/>
  <c r="E40" i="4"/>
  <c r="G40" i="4" s="1"/>
  <c r="I40" i="4" s="1"/>
  <c r="E39" i="4"/>
  <c r="G39" i="4" s="1"/>
  <c r="I39" i="4" s="1"/>
  <c r="E38" i="4"/>
  <c r="G38" i="4" s="1"/>
  <c r="I38" i="4" s="1"/>
  <c r="E37" i="4"/>
  <c r="G37" i="4" s="1"/>
  <c r="I37" i="4" s="1"/>
  <c r="E36" i="4"/>
  <c r="G36" i="4" s="1"/>
  <c r="I36" i="4" s="1"/>
  <c r="E35" i="4"/>
  <c r="G35" i="4" s="1"/>
  <c r="I35" i="4" s="1"/>
  <c r="E34" i="4"/>
  <c r="G34" i="4" s="1"/>
  <c r="I34" i="4" s="1"/>
  <c r="E33" i="4"/>
  <c r="G33" i="4" s="1"/>
  <c r="I33" i="4" s="1"/>
  <c r="E32" i="4"/>
  <c r="G32" i="4" s="1"/>
  <c r="I32" i="4" s="1"/>
  <c r="E31" i="4"/>
  <c r="G31" i="4" s="1"/>
  <c r="I31" i="4" s="1"/>
  <c r="E30" i="4"/>
  <c r="G30" i="4" s="1"/>
  <c r="I30" i="4" s="1"/>
  <c r="E29" i="4"/>
  <c r="G29" i="4" s="1"/>
  <c r="I29" i="4" s="1"/>
  <c r="E28" i="4"/>
  <c r="G28" i="4" s="1"/>
  <c r="I28" i="4" s="1"/>
  <c r="E26" i="4"/>
  <c r="G26" i="4" s="1"/>
  <c r="I26" i="4" s="1"/>
  <c r="E25" i="4"/>
  <c r="G25" i="4" s="1"/>
  <c r="I25" i="4" s="1"/>
  <c r="E24" i="4"/>
  <c r="G24" i="4" s="1"/>
  <c r="I24" i="4" s="1"/>
  <c r="E23" i="4"/>
  <c r="G23" i="4" s="1"/>
  <c r="I23" i="4" s="1"/>
  <c r="E22" i="4"/>
  <c r="G22" i="4" s="1"/>
  <c r="I22" i="4" s="1"/>
  <c r="E21" i="4"/>
  <c r="G21" i="4" s="1"/>
  <c r="I21" i="4" s="1"/>
  <c r="E20" i="4"/>
  <c r="G20" i="4" s="1"/>
  <c r="I20" i="4" s="1"/>
  <c r="E19" i="4"/>
  <c r="G19" i="4" s="1"/>
  <c r="I19" i="4" s="1"/>
  <c r="E18" i="4"/>
  <c r="G18" i="4" s="1"/>
  <c r="I18" i="4" s="1"/>
  <c r="E17" i="4"/>
  <c r="G17" i="4" s="1"/>
  <c r="I17" i="4" s="1"/>
  <c r="E16" i="4"/>
  <c r="G16" i="4" s="1"/>
  <c r="I16" i="4" s="1"/>
  <c r="E15" i="4"/>
  <c r="G15" i="4" s="1"/>
  <c r="I15" i="4" s="1"/>
  <c r="E14" i="4"/>
  <c r="G14" i="4" s="1"/>
  <c r="I14" i="4" s="1"/>
  <c r="E13" i="4"/>
  <c r="G13" i="4" s="1"/>
  <c r="I13" i="4" s="1"/>
  <c r="E12" i="4"/>
  <c r="G12" i="4" s="1"/>
  <c r="I12" i="4" s="1"/>
  <c r="E11" i="4"/>
  <c r="G11" i="4" s="1"/>
  <c r="I11" i="4" s="1"/>
  <c r="E10" i="4"/>
  <c r="G10" i="4" s="1"/>
  <c r="I10" i="4" s="1"/>
  <c r="E9" i="4"/>
  <c r="G9" i="4" s="1"/>
  <c r="I9" i="4" s="1"/>
  <c r="E8" i="4"/>
  <c r="G8" i="4" s="1"/>
  <c r="I8" i="4" s="1"/>
  <c r="D11" i="3"/>
  <c r="D13" i="3" s="1"/>
  <c r="D22" i="3"/>
  <c r="D35" i="3"/>
  <c r="D123" i="3"/>
  <c r="D137" i="3" s="1"/>
  <c r="D146" i="3"/>
  <c r="D157" i="3"/>
  <c r="D171" i="3" s="1"/>
  <c r="D187" i="3"/>
  <c r="D202" i="3" s="1"/>
  <c r="D219" i="3"/>
  <c r="D239" i="3"/>
  <c r="E14" i="3"/>
  <c r="E15" i="3"/>
  <c r="E16" i="3"/>
  <c r="E17" i="3"/>
  <c r="E18" i="3"/>
  <c r="E19" i="3"/>
  <c r="G19" i="3" s="1"/>
  <c r="I19" i="3" s="1"/>
  <c r="E20" i="3"/>
  <c r="G20" i="3" s="1"/>
  <c r="I20" i="3" s="1"/>
  <c r="E21" i="3"/>
  <c r="G21" i="3" s="1"/>
  <c r="I21" i="3" s="1"/>
  <c r="E23" i="3"/>
  <c r="E24" i="3"/>
  <c r="E25" i="3"/>
  <c r="G25" i="3" s="1"/>
  <c r="I25" i="3" s="1"/>
  <c r="E26" i="3"/>
  <c r="G26" i="3" s="1"/>
  <c r="I26" i="3" s="1"/>
  <c r="E27" i="3"/>
  <c r="G27" i="3" s="1"/>
  <c r="I27" i="3" s="1"/>
  <c r="E28" i="3"/>
  <c r="G28" i="3" s="1"/>
  <c r="I28" i="3" s="1"/>
  <c r="E29" i="3"/>
  <c r="G29" i="3" s="1"/>
  <c r="I29" i="3" s="1"/>
  <c r="E30" i="3"/>
  <c r="G30" i="3" s="1"/>
  <c r="I30" i="3" s="1"/>
  <c r="E31" i="3"/>
  <c r="G31" i="3" s="1"/>
  <c r="I31" i="3" s="1"/>
  <c r="E32" i="3"/>
  <c r="G32" i="3" s="1"/>
  <c r="I32" i="3" s="1"/>
  <c r="E33" i="3"/>
  <c r="G33" i="3" s="1"/>
  <c r="I33" i="3" s="1"/>
  <c r="E34" i="3"/>
  <c r="G34" i="3" s="1"/>
  <c r="I34" i="3" s="1"/>
  <c r="E36" i="3"/>
  <c r="E38" i="3"/>
  <c r="E39" i="3"/>
  <c r="E40" i="3"/>
  <c r="E41" i="3"/>
  <c r="E43" i="3"/>
  <c r="E44" i="3"/>
  <c r="G44" i="3" s="1"/>
  <c r="I44" i="3" s="1"/>
  <c r="E45" i="3"/>
  <c r="G45" i="3" s="1"/>
  <c r="I45" i="3" s="1"/>
  <c r="E46" i="3"/>
  <c r="G46" i="3" s="1"/>
  <c r="I46" i="3" s="1"/>
  <c r="E47" i="3"/>
  <c r="G47" i="3" s="1"/>
  <c r="I47" i="3" s="1"/>
  <c r="E48" i="3"/>
  <c r="G48" i="3" s="1"/>
  <c r="I48" i="3" s="1"/>
  <c r="E49" i="3"/>
  <c r="G49" i="3" s="1"/>
  <c r="I49" i="3" s="1"/>
  <c r="E50" i="3"/>
  <c r="G50" i="3" s="1"/>
  <c r="I50" i="3" s="1"/>
  <c r="E51" i="3"/>
  <c r="G51" i="3" s="1"/>
  <c r="I51" i="3" s="1"/>
  <c r="E52" i="3"/>
  <c r="G52" i="3" s="1"/>
  <c r="I52" i="3" s="1"/>
  <c r="E53" i="3"/>
  <c r="G53" i="3" s="1"/>
  <c r="I53" i="3" s="1"/>
  <c r="E54" i="3"/>
  <c r="G54" i="3" s="1"/>
  <c r="I54" i="3" s="1"/>
  <c r="E55" i="3"/>
  <c r="G55" i="3" s="1"/>
  <c r="I55" i="3" s="1"/>
  <c r="E56" i="3"/>
  <c r="G56" i="3" s="1"/>
  <c r="I56" i="3" s="1"/>
  <c r="E57" i="3"/>
  <c r="G57" i="3" s="1"/>
  <c r="I57" i="3" s="1"/>
  <c r="E58" i="3"/>
  <c r="G58" i="3" s="1"/>
  <c r="I58" i="3" s="1"/>
  <c r="E59" i="3"/>
  <c r="G59" i="3" s="1"/>
  <c r="I59" i="3" s="1"/>
  <c r="E60" i="3"/>
  <c r="G60" i="3" s="1"/>
  <c r="I60" i="3" s="1"/>
  <c r="E62" i="3"/>
  <c r="G62" i="3" s="1"/>
  <c r="I62" i="3" s="1"/>
  <c r="E63" i="3"/>
  <c r="G63" i="3" s="1"/>
  <c r="I63" i="3" s="1"/>
  <c r="E64" i="3"/>
  <c r="G64" i="3" s="1"/>
  <c r="I64" i="3" s="1"/>
  <c r="E65" i="3"/>
  <c r="G65" i="3" s="1"/>
  <c r="I65" i="3" s="1"/>
  <c r="E66" i="3"/>
  <c r="G66" i="3" s="1"/>
  <c r="I66" i="3" s="1"/>
  <c r="E67" i="3"/>
  <c r="G67" i="3" s="1"/>
  <c r="I67" i="3" s="1"/>
  <c r="E68" i="3"/>
  <c r="G68" i="3" s="1"/>
  <c r="I68" i="3" s="1"/>
  <c r="E69" i="3"/>
  <c r="G69" i="3" s="1"/>
  <c r="I69" i="3" s="1"/>
  <c r="E70" i="3"/>
  <c r="G70" i="3" s="1"/>
  <c r="I70" i="3" s="1"/>
  <c r="E71" i="3"/>
  <c r="G71" i="3" s="1"/>
  <c r="I71" i="3" s="1"/>
  <c r="E72" i="3"/>
  <c r="G72" i="3" s="1"/>
  <c r="I72" i="3" s="1"/>
  <c r="E73" i="3"/>
  <c r="G73" i="3" s="1"/>
  <c r="I73" i="3" s="1"/>
  <c r="E74" i="3"/>
  <c r="G74" i="3" s="1"/>
  <c r="I74" i="3" s="1"/>
  <c r="E75" i="3"/>
  <c r="G75" i="3" s="1"/>
  <c r="I75" i="3" s="1"/>
  <c r="E76" i="3"/>
  <c r="G76" i="3" s="1"/>
  <c r="I76" i="3" s="1"/>
  <c r="E77" i="3"/>
  <c r="G77" i="3" s="1"/>
  <c r="I77" i="3" s="1"/>
  <c r="E78" i="3"/>
  <c r="G78" i="3" s="1"/>
  <c r="I78" i="3" s="1"/>
  <c r="E79" i="3"/>
  <c r="G79" i="3" s="1"/>
  <c r="I79" i="3" s="1"/>
  <c r="E80" i="3"/>
  <c r="G80" i="3" s="1"/>
  <c r="I80" i="3" s="1"/>
  <c r="E81" i="3"/>
  <c r="G81" i="3" s="1"/>
  <c r="I81" i="3" s="1"/>
  <c r="E82" i="3"/>
  <c r="G82" i="3" s="1"/>
  <c r="I82" i="3" s="1"/>
  <c r="E83" i="3"/>
  <c r="G83" i="3" s="1"/>
  <c r="I83" i="3" s="1"/>
  <c r="E84" i="3"/>
  <c r="G84" i="3" s="1"/>
  <c r="I84" i="3" s="1"/>
  <c r="E85" i="3"/>
  <c r="G85" i="3" s="1"/>
  <c r="I85" i="3" s="1"/>
  <c r="E86" i="3"/>
  <c r="G86" i="3" s="1"/>
  <c r="I86" i="3" s="1"/>
  <c r="E87" i="3"/>
  <c r="G87" i="3" s="1"/>
  <c r="I87" i="3" s="1"/>
  <c r="E88" i="3"/>
  <c r="G88" i="3" s="1"/>
  <c r="I88" i="3" s="1"/>
  <c r="E89" i="3"/>
  <c r="G89" i="3" s="1"/>
  <c r="I89" i="3" s="1"/>
  <c r="E90" i="3"/>
  <c r="G90" i="3" s="1"/>
  <c r="I90" i="3" s="1"/>
  <c r="E91" i="3"/>
  <c r="G91" i="3" s="1"/>
  <c r="I91" i="3" s="1"/>
  <c r="E92" i="3"/>
  <c r="G92" i="3" s="1"/>
  <c r="I92" i="3" s="1"/>
  <c r="E93" i="3"/>
  <c r="G93" i="3" s="1"/>
  <c r="I93" i="3" s="1"/>
  <c r="E94" i="3"/>
  <c r="G94" i="3" s="1"/>
  <c r="I94" i="3" s="1"/>
  <c r="E95" i="3"/>
  <c r="G95" i="3" s="1"/>
  <c r="I95" i="3" s="1"/>
  <c r="E96" i="3"/>
  <c r="G96" i="3" s="1"/>
  <c r="I96" i="3" s="1"/>
  <c r="E97" i="3"/>
  <c r="G97" i="3" s="1"/>
  <c r="I97" i="3" s="1"/>
  <c r="E98" i="3"/>
  <c r="G98" i="3" s="1"/>
  <c r="I98" i="3" s="1"/>
  <c r="E99" i="3"/>
  <c r="G99" i="3" s="1"/>
  <c r="I99" i="3" s="1"/>
  <c r="E100" i="3"/>
  <c r="G100" i="3" s="1"/>
  <c r="I100" i="3" s="1"/>
  <c r="E101" i="3"/>
  <c r="G101" i="3" s="1"/>
  <c r="I101" i="3" s="1"/>
  <c r="E102" i="3"/>
  <c r="G102" i="3" s="1"/>
  <c r="I102" i="3" s="1"/>
  <c r="E103" i="3"/>
  <c r="G103" i="3" s="1"/>
  <c r="I103" i="3" s="1"/>
  <c r="E104" i="3"/>
  <c r="G104" i="3" s="1"/>
  <c r="I104" i="3" s="1"/>
  <c r="E105" i="3"/>
  <c r="G105" i="3" s="1"/>
  <c r="I105" i="3" s="1"/>
  <c r="E106" i="3"/>
  <c r="G106" i="3" s="1"/>
  <c r="I106" i="3" s="1"/>
  <c r="E107" i="3"/>
  <c r="G107" i="3" s="1"/>
  <c r="I107" i="3" s="1"/>
  <c r="E108" i="3"/>
  <c r="G108" i="3" s="1"/>
  <c r="I108" i="3" s="1"/>
  <c r="E109" i="3"/>
  <c r="G109" i="3" s="1"/>
  <c r="I109" i="3" s="1"/>
  <c r="E119" i="3"/>
  <c r="G119" i="3" s="1"/>
  <c r="I119" i="3" s="1"/>
  <c r="E120" i="3"/>
  <c r="G120" i="3" s="1"/>
  <c r="I120" i="3" s="1"/>
  <c r="E121" i="3"/>
  <c r="G121" i="3" s="1"/>
  <c r="I121" i="3" s="1"/>
  <c r="E122" i="3"/>
  <c r="G122" i="3" s="1"/>
  <c r="I122" i="3" s="1"/>
  <c r="E124" i="3"/>
  <c r="E125" i="3"/>
  <c r="E126" i="3"/>
  <c r="E127" i="3"/>
  <c r="G127" i="3" s="1"/>
  <c r="I127" i="3" s="1"/>
  <c r="E128" i="3"/>
  <c r="G128" i="3" s="1"/>
  <c r="I128" i="3" s="1"/>
  <c r="E129" i="3"/>
  <c r="G129" i="3" s="1"/>
  <c r="I129" i="3" s="1"/>
  <c r="E130" i="3"/>
  <c r="G130" i="3" s="1"/>
  <c r="I130" i="3" s="1"/>
  <c r="E131" i="3"/>
  <c r="G131" i="3" s="1"/>
  <c r="I131" i="3" s="1"/>
  <c r="E132" i="3"/>
  <c r="G132" i="3" s="1"/>
  <c r="I132" i="3" s="1"/>
  <c r="E133" i="3"/>
  <c r="G133" i="3" s="1"/>
  <c r="I133" i="3" s="1"/>
  <c r="E134" i="3"/>
  <c r="G134" i="3" s="1"/>
  <c r="I134" i="3" s="1"/>
  <c r="E136" i="3"/>
  <c r="E138" i="3"/>
  <c r="E139" i="3"/>
  <c r="E140" i="3"/>
  <c r="E141" i="3"/>
  <c r="E142" i="3"/>
  <c r="E143" i="3"/>
  <c r="E144" i="3"/>
  <c r="E145" i="3"/>
  <c r="E147" i="3"/>
  <c r="E148" i="3"/>
  <c r="E149" i="3"/>
  <c r="E150" i="3"/>
  <c r="G150" i="3" s="1"/>
  <c r="E156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F170" i="3" s="1"/>
  <c r="E172" i="3"/>
  <c r="E173" i="3"/>
  <c r="E174" i="3"/>
  <c r="E181" i="3"/>
  <c r="E182" i="3"/>
  <c r="G182" i="3" s="1"/>
  <c r="I182" i="3" s="1"/>
  <c r="E188" i="3"/>
  <c r="E189" i="3"/>
  <c r="E190" i="3"/>
  <c r="E191" i="3"/>
  <c r="G191" i="3" s="1"/>
  <c r="I191" i="3" s="1"/>
  <c r="E192" i="3"/>
  <c r="G192" i="3" s="1"/>
  <c r="I192" i="3" s="1"/>
  <c r="E193" i="3"/>
  <c r="G193" i="3" s="1"/>
  <c r="I193" i="3" s="1"/>
  <c r="E194" i="3"/>
  <c r="G194" i="3" s="1"/>
  <c r="I194" i="3" s="1"/>
  <c r="E195" i="3"/>
  <c r="G195" i="3" s="1"/>
  <c r="I195" i="3" s="1"/>
  <c r="E196" i="3"/>
  <c r="G196" i="3" s="1"/>
  <c r="I196" i="3" s="1"/>
  <c r="E197" i="3"/>
  <c r="G197" i="3" s="1"/>
  <c r="I197" i="3" s="1"/>
  <c r="E198" i="3"/>
  <c r="G198" i="3" s="1"/>
  <c r="I198" i="3" s="1"/>
  <c r="E199" i="3"/>
  <c r="G199" i="3" s="1"/>
  <c r="I199" i="3" s="1"/>
  <c r="E204" i="3"/>
  <c r="E205" i="3"/>
  <c r="E206" i="3"/>
  <c r="E207" i="3"/>
  <c r="E208" i="3"/>
  <c r="G208" i="3" s="1"/>
  <c r="I208" i="3" s="1"/>
  <c r="E209" i="3"/>
  <c r="G209" i="3" s="1"/>
  <c r="I209" i="3" s="1"/>
  <c r="E210" i="3"/>
  <c r="G210" i="3" s="1"/>
  <c r="I210" i="3" s="1"/>
  <c r="E211" i="3"/>
  <c r="G211" i="3" s="1"/>
  <c r="I211" i="3" s="1"/>
  <c r="E212" i="3"/>
  <c r="G212" i="3" s="1"/>
  <c r="I212" i="3" s="1"/>
  <c r="E213" i="3"/>
  <c r="G213" i="3" s="1"/>
  <c r="I213" i="3" s="1"/>
  <c r="E214" i="3"/>
  <c r="G214" i="3" s="1"/>
  <c r="I214" i="3" s="1"/>
  <c r="E215" i="3"/>
  <c r="G215" i="3" s="1"/>
  <c r="I215" i="3" s="1"/>
  <c r="E220" i="3"/>
  <c r="E221" i="3"/>
  <c r="E222" i="3"/>
  <c r="G222" i="3" s="1"/>
  <c r="I222" i="3" s="1"/>
  <c r="E223" i="3"/>
  <c r="G223" i="3" s="1"/>
  <c r="I223" i="3" s="1"/>
  <c r="E224" i="3"/>
  <c r="G224" i="3" s="1"/>
  <c r="I224" i="3" s="1"/>
  <c r="E225" i="3"/>
  <c r="G225" i="3" s="1"/>
  <c r="I225" i="3" s="1"/>
  <c r="E226" i="3"/>
  <c r="G226" i="3" s="1"/>
  <c r="I226" i="3" s="1"/>
  <c r="E227" i="3"/>
  <c r="G227" i="3" s="1"/>
  <c r="I227" i="3" s="1"/>
  <c r="E228" i="3"/>
  <c r="G228" i="3" s="1"/>
  <c r="I228" i="3" s="1"/>
  <c r="E229" i="3"/>
  <c r="G229" i="3" s="1"/>
  <c r="I229" i="3" s="1"/>
  <c r="E230" i="3"/>
  <c r="G230" i="3" s="1"/>
  <c r="I230" i="3" s="1"/>
  <c r="E231" i="3"/>
  <c r="G231" i="3" s="1"/>
  <c r="I231" i="3" s="1"/>
  <c r="E232" i="3"/>
  <c r="G232" i="3" s="1"/>
  <c r="I232" i="3" s="1"/>
  <c r="E233" i="3"/>
  <c r="G233" i="3" s="1"/>
  <c r="I233" i="3" s="1"/>
  <c r="E234" i="3"/>
  <c r="G234" i="3" s="1"/>
  <c r="I234" i="3" s="1"/>
  <c r="E235" i="3"/>
  <c r="G235" i="3" s="1"/>
  <c r="I235" i="3" s="1"/>
  <c r="E236" i="3"/>
  <c r="G236" i="3" s="1"/>
  <c r="I236" i="3" s="1"/>
  <c r="E237" i="3"/>
  <c r="G237" i="3" s="1"/>
  <c r="I237" i="3" s="1"/>
  <c r="E238" i="3"/>
  <c r="G238" i="3" s="1"/>
  <c r="E240" i="3"/>
  <c r="E242" i="3"/>
  <c r="E244" i="3"/>
  <c r="E10" i="3"/>
  <c r="G10" i="3" s="1"/>
  <c r="I10" i="3" s="1"/>
  <c r="E12" i="3"/>
  <c r="E9" i="3"/>
  <c r="G9" i="3" s="1"/>
  <c r="I9" i="3" s="1"/>
  <c r="D30" i="2"/>
  <c r="D46" i="2" s="1"/>
  <c r="D188" i="2"/>
  <c r="D203" i="2" s="1"/>
  <c r="D291" i="2"/>
  <c r="D306" i="2" s="1"/>
  <c r="D345" i="2"/>
  <c r="D361" i="2" s="1"/>
  <c r="D424" i="2"/>
  <c r="D443" i="2"/>
  <c r="E448" i="2"/>
  <c r="E446" i="2"/>
  <c r="E444" i="2"/>
  <c r="E442" i="2"/>
  <c r="G442" i="2" s="1"/>
  <c r="I442" i="2" s="1"/>
  <c r="E441" i="2"/>
  <c r="G441" i="2" s="1"/>
  <c r="I441" i="2" s="1"/>
  <c r="E440" i="2"/>
  <c r="G440" i="2" s="1"/>
  <c r="I440" i="2" s="1"/>
  <c r="E439" i="2"/>
  <c r="G439" i="2" s="1"/>
  <c r="I439" i="2" s="1"/>
  <c r="E438" i="2"/>
  <c r="G438" i="2" s="1"/>
  <c r="I438" i="2" s="1"/>
  <c r="E437" i="2"/>
  <c r="G437" i="2" s="1"/>
  <c r="I437" i="2" s="1"/>
  <c r="E436" i="2"/>
  <c r="G436" i="2" s="1"/>
  <c r="I436" i="2" s="1"/>
  <c r="E435" i="2"/>
  <c r="G435" i="2" s="1"/>
  <c r="I435" i="2" s="1"/>
  <c r="E434" i="2"/>
  <c r="G434" i="2" s="1"/>
  <c r="I434" i="2" s="1"/>
  <c r="E433" i="2"/>
  <c r="G433" i="2" s="1"/>
  <c r="I433" i="2" s="1"/>
  <c r="E432" i="2"/>
  <c r="G432" i="2" s="1"/>
  <c r="I432" i="2" s="1"/>
  <c r="E431" i="2"/>
  <c r="G431" i="2" s="1"/>
  <c r="I431" i="2" s="1"/>
  <c r="E430" i="2"/>
  <c r="G430" i="2" s="1"/>
  <c r="I430" i="2" s="1"/>
  <c r="E429" i="2"/>
  <c r="G429" i="2" s="1"/>
  <c r="I429" i="2" s="1"/>
  <c r="E428" i="2"/>
  <c r="G428" i="2" s="1"/>
  <c r="I428" i="2" s="1"/>
  <c r="E427" i="2"/>
  <c r="G427" i="2" s="1"/>
  <c r="I427" i="2" s="1"/>
  <c r="E426" i="2"/>
  <c r="E425" i="2"/>
  <c r="E423" i="2"/>
  <c r="E422" i="2"/>
  <c r="G422" i="2" s="1"/>
  <c r="I422" i="2" s="1"/>
  <c r="E421" i="2"/>
  <c r="G421" i="2" s="1"/>
  <c r="I421" i="2" s="1"/>
  <c r="E419" i="2"/>
  <c r="G419" i="2" s="1"/>
  <c r="I419" i="2" s="1"/>
  <c r="E415" i="2"/>
  <c r="G415" i="2" s="1"/>
  <c r="I415" i="2" s="1"/>
  <c r="E414" i="2"/>
  <c r="G414" i="2" s="1"/>
  <c r="I414" i="2" s="1"/>
  <c r="E413" i="2"/>
  <c r="G413" i="2" s="1"/>
  <c r="I413" i="2" s="1"/>
  <c r="E412" i="2"/>
  <c r="G412" i="2" s="1"/>
  <c r="I412" i="2" s="1"/>
  <c r="E411" i="2"/>
  <c r="G411" i="2" s="1"/>
  <c r="I411" i="2" s="1"/>
  <c r="E410" i="2"/>
  <c r="G410" i="2" s="1"/>
  <c r="I410" i="2" s="1"/>
  <c r="E409" i="2"/>
  <c r="G409" i="2" s="1"/>
  <c r="I409" i="2" s="1"/>
  <c r="E408" i="2"/>
  <c r="G408" i="2" s="1"/>
  <c r="I408" i="2" s="1"/>
  <c r="E407" i="2"/>
  <c r="G407" i="2" s="1"/>
  <c r="I407" i="2" s="1"/>
  <c r="E406" i="2"/>
  <c r="G406" i="2" s="1"/>
  <c r="I406" i="2" s="1"/>
  <c r="E405" i="2"/>
  <c r="G405" i="2" s="1"/>
  <c r="I405" i="2" s="1"/>
  <c r="E404" i="2"/>
  <c r="G404" i="2" s="1"/>
  <c r="I404" i="2" s="1"/>
  <c r="E403" i="2"/>
  <c r="G403" i="2" s="1"/>
  <c r="I403" i="2" s="1"/>
  <c r="E402" i="2"/>
  <c r="G402" i="2" s="1"/>
  <c r="I402" i="2" s="1"/>
  <c r="E401" i="2"/>
  <c r="G401" i="2" s="1"/>
  <c r="I401" i="2" s="1"/>
  <c r="E400" i="2"/>
  <c r="G400" i="2" s="1"/>
  <c r="I400" i="2" s="1"/>
  <c r="E399" i="2"/>
  <c r="G399" i="2" s="1"/>
  <c r="I399" i="2" s="1"/>
  <c r="E398" i="2"/>
  <c r="G398" i="2" s="1"/>
  <c r="I398" i="2" s="1"/>
  <c r="E397" i="2"/>
  <c r="G397" i="2" s="1"/>
  <c r="I397" i="2" s="1"/>
  <c r="E396" i="2"/>
  <c r="G396" i="2" s="1"/>
  <c r="I396" i="2" s="1"/>
  <c r="E395" i="2"/>
  <c r="G395" i="2" s="1"/>
  <c r="I395" i="2" s="1"/>
  <c r="E394" i="2"/>
  <c r="G394" i="2" s="1"/>
  <c r="I394" i="2" s="1"/>
  <c r="E393" i="2"/>
  <c r="G393" i="2" s="1"/>
  <c r="I393" i="2" s="1"/>
  <c r="E392" i="2"/>
  <c r="E391" i="2"/>
  <c r="E386" i="2"/>
  <c r="E385" i="2"/>
  <c r="E362" i="2"/>
  <c r="E360" i="2"/>
  <c r="E358" i="2"/>
  <c r="G358" i="2" s="1"/>
  <c r="I358" i="2" s="1"/>
  <c r="E357" i="2"/>
  <c r="G357" i="2" s="1"/>
  <c r="I357" i="2" s="1"/>
  <c r="E356" i="2"/>
  <c r="G356" i="2" s="1"/>
  <c r="I356" i="2" s="1"/>
  <c r="E355" i="2"/>
  <c r="G355" i="2" s="1"/>
  <c r="I355" i="2" s="1"/>
  <c r="E354" i="2"/>
  <c r="G354" i="2" s="1"/>
  <c r="I354" i="2" s="1"/>
  <c r="E353" i="2"/>
  <c r="G353" i="2" s="1"/>
  <c r="I353" i="2" s="1"/>
  <c r="E352" i="2"/>
  <c r="G352" i="2" s="1"/>
  <c r="I352" i="2" s="1"/>
  <c r="E351" i="2"/>
  <c r="G351" i="2" s="1"/>
  <c r="I351" i="2" s="1"/>
  <c r="E350" i="2"/>
  <c r="G350" i="2" s="1"/>
  <c r="I350" i="2" s="1"/>
  <c r="E349" i="2"/>
  <c r="G349" i="2" s="1"/>
  <c r="I349" i="2" s="1"/>
  <c r="E348" i="2"/>
  <c r="G348" i="2" s="1"/>
  <c r="I348" i="2" s="1"/>
  <c r="E347" i="2"/>
  <c r="E346" i="2"/>
  <c r="E329" i="2"/>
  <c r="G329" i="2" s="1"/>
  <c r="I329" i="2" s="1"/>
  <c r="E328" i="2"/>
  <c r="G328" i="2" s="1"/>
  <c r="I328" i="2" s="1"/>
  <c r="E327" i="2"/>
  <c r="G327" i="2" s="1"/>
  <c r="I327" i="2" s="1"/>
  <c r="E326" i="2"/>
  <c r="G326" i="2" s="1"/>
  <c r="I326" i="2" s="1"/>
  <c r="E325" i="2"/>
  <c r="G325" i="2" s="1"/>
  <c r="I325" i="2" s="1"/>
  <c r="E324" i="2"/>
  <c r="G324" i="2" s="1"/>
  <c r="I324" i="2" s="1"/>
  <c r="E323" i="2"/>
  <c r="G323" i="2" s="1"/>
  <c r="I323" i="2" s="1"/>
  <c r="E321" i="2"/>
  <c r="G321" i="2" s="1"/>
  <c r="I321" i="2" s="1"/>
  <c r="E320" i="2"/>
  <c r="G320" i="2" s="1"/>
  <c r="I320" i="2" s="1"/>
  <c r="E319" i="2"/>
  <c r="G319" i="2" s="1"/>
  <c r="I319" i="2" s="1"/>
  <c r="E318" i="2"/>
  <c r="G318" i="2" s="1"/>
  <c r="I318" i="2" s="1"/>
  <c r="E317" i="2"/>
  <c r="G317" i="2" s="1"/>
  <c r="I317" i="2" s="1"/>
  <c r="E316" i="2"/>
  <c r="G316" i="2" s="1"/>
  <c r="I316" i="2" s="1"/>
  <c r="E315" i="2"/>
  <c r="G315" i="2" s="1"/>
  <c r="I315" i="2" s="1"/>
  <c r="E314" i="2"/>
  <c r="G314" i="2" s="1"/>
  <c r="I314" i="2" s="1"/>
  <c r="E312" i="2"/>
  <c r="G312" i="2" s="1"/>
  <c r="I312" i="2" s="1"/>
  <c r="E311" i="2"/>
  <c r="G311" i="2" s="1"/>
  <c r="I311" i="2" s="1"/>
  <c r="E310" i="2"/>
  <c r="E309" i="2"/>
  <c r="E308" i="2"/>
  <c r="E307" i="2"/>
  <c r="E305" i="2"/>
  <c r="E303" i="2"/>
  <c r="E302" i="2"/>
  <c r="G302" i="2" s="1"/>
  <c r="I302" i="2" s="1"/>
  <c r="E301" i="2"/>
  <c r="G301" i="2" s="1"/>
  <c r="I301" i="2" s="1"/>
  <c r="E300" i="2"/>
  <c r="G300" i="2" s="1"/>
  <c r="I300" i="2" s="1"/>
  <c r="E299" i="2"/>
  <c r="G299" i="2" s="1"/>
  <c r="I299" i="2" s="1"/>
  <c r="E298" i="2"/>
  <c r="G298" i="2" s="1"/>
  <c r="I298" i="2" s="1"/>
  <c r="E297" i="2"/>
  <c r="G297" i="2" s="1"/>
  <c r="I297" i="2" s="1"/>
  <c r="E296" i="2"/>
  <c r="G296" i="2" s="1"/>
  <c r="I296" i="2" s="1"/>
  <c r="E295" i="2"/>
  <c r="G295" i="2" s="1"/>
  <c r="I295" i="2" s="1"/>
  <c r="E294" i="2"/>
  <c r="E293" i="2"/>
  <c r="E292" i="2"/>
  <c r="E276" i="2"/>
  <c r="G276" i="2" s="1"/>
  <c r="I276" i="2" s="1"/>
  <c r="E275" i="2"/>
  <c r="G275" i="2" s="1"/>
  <c r="I275" i="2" s="1"/>
  <c r="E273" i="2"/>
  <c r="G273" i="2" s="1"/>
  <c r="I273" i="2" s="1"/>
  <c r="E272" i="2"/>
  <c r="G272" i="2" s="1"/>
  <c r="I272" i="2" s="1"/>
  <c r="E271" i="2"/>
  <c r="G271" i="2" s="1"/>
  <c r="I271" i="2" s="1"/>
  <c r="E270" i="2"/>
  <c r="G270" i="2" s="1"/>
  <c r="I270" i="2" s="1"/>
  <c r="E269" i="2"/>
  <c r="G269" i="2" s="1"/>
  <c r="I269" i="2" s="1"/>
  <c r="E268" i="2"/>
  <c r="G268" i="2" s="1"/>
  <c r="I268" i="2" s="1"/>
  <c r="E266" i="2"/>
  <c r="G266" i="2" s="1"/>
  <c r="I266" i="2" s="1"/>
  <c r="E265" i="2"/>
  <c r="G265" i="2" s="1"/>
  <c r="I265" i="2" s="1"/>
  <c r="E264" i="2"/>
  <c r="G264" i="2" s="1"/>
  <c r="I264" i="2" s="1"/>
  <c r="E263" i="2"/>
  <c r="G263" i="2" s="1"/>
  <c r="I263" i="2" s="1"/>
  <c r="E262" i="2"/>
  <c r="G262" i="2" s="1"/>
  <c r="I262" i="2" s="1"/>
  <c r="E261" i="2"/>
  <c r="G261" i="2" s="1"/>
  <c r="I261" i="2" s="1"/>
  <c r="E260" i="2"/>
  <c r="G260" i="2" s="1"/>
  <c r="I260" i="2" s="1"/>
  <c r="E259" i="2"/>
  <c r="G259" i="2" s="1"/>
  <c r="I259" i="2" s="1"/>
  <c r="E258" i="2"/>
  <c r="G258" i="2" s="1"/>
  <c r="I258" i="2" s="1"/>
  <c r="E257" i="2"/>
  <c r="G257" i="2" s="1"/>
  <c r="I257" i="2" s="1"/>
  <c r="E256" i="2"/>
  <c r="G256" i="2" s="1"/>
  <c r="I256" i="2" s="1"/>
  <c r="E255" i="2"/>
  <c r="G255" i="2" s="1"/>
  <c r="I255" i="2" s="1"/>
  <c r="E254" i="2"/>
  <c r="G254" i="2" s="1"/>
  <c r="I254" i="2" s="1"/>
  <c r="E253" i="2"/>
  <c r="G253" i="2" s="1"/>
  <c r="I253" i="2" s="1"/>
  <c r="E252" i="2"/>
  <c r="G252" i="2" s="1"/>
  <c r="I252" i="2" s="1"/>
  <c r="E251" i="2"/>
  <c r="G251" i="2" s="1"/>
  <c r="I251" i="2" s="1"/>
  <c r="E250" i="2"/>
  <c r="G250" i="2" s="1"/>
  <c r="I250" i="2" s="1"/>
  <c r="E249" i="2"/>
  <c r="G249" i="2" s="1"/>
  <c r="I249" i="2" s="1"/>
  <c r="E248" i="2"/>
  <c r="G248" i="2" s="1"/>
  <c r="I248" i="2" s="1"/>
  <c r="E246" i="2"/>
  <c r="G246" i="2" s="1"/>
  <c r="I246" i="2" s="1"/>
  <c r="E245" i="2"/>
  <c r="G245" i="2" s="1"/>
  <c r="I245" i="2" s="1"/>
  <c r="E244" i="2"/>
  <c r="G244" i="2" s="1"/>
  <c r="I244" i="2" s="1"/>
  <c r="E243" i="2"/>
  <c r="G243" i="2" s="1"/>
  <c r="I243" i="2" s="1"/>
  <c r="E242" i="2"/>
  <c r="G242" i="2" s="1"/>
  <c r="I242" i="2" s="1"/>
  <c r="E241" i="2"/>
  <c r="G241" i="2" s="1"/>
  <c r="I241" i="2" s="1"/>
  <c r="E240" i="2"/>
  <c r="G240" i="2" s="1"/>
  <c r="I240" i="2" s="1"/>
  <c r="E239" i="2"/>
  <c r="G239" i="2" s="1"/>
  <c r="I239" i="2" s="1"/>
  <c r="E238" i="2"/>
  <c r="G238" i="2" s="1"/>
  <c r="I238" i="2" s="1"/>
  <c r="E237" i="2"/>
  <c r="G237" i="2" s="1"/>
  <c r="I237" i="2" s="1"/>
  <c r="E236" i="2"/>
  <c r="G236" i="2" s="1"/>
  <c r="I236" i="2" s="1"/>
  <c r="E235" i="2"/>
  <c r="G235" i="2" s="1"/>
  <c r="I235" i="2" s="1"/>
  <c r="E234" i="2"/>
  <c r="G234" i="2" s="1"/>
  <c r="I234" i="2" s="1"/>
  <c r="E233" i="2"/>
  <c r="G233" i="2" s="1"/>
  <c r="I233" i="2" s="1"/>
  <c r="E232" i="2"/>
  <c r="G232" i="2" s="1"/>
  <c r="I232" i="2" s="1"/>
  <c r="E231" i="2"/>
  <c r="G231" i="2" s="1"/>
  <c r="I231" i="2" s="1"/>
  <c r="E229" i="2"/>
  <c r="G229" i="2" s="1"/>
  <c r="I229" i="2" s="1"/>
  <c r="E228" i="2"/>
  <c r="G228" i="2" s="1"/>
  <c r="I228" i="2" s="1"/>
  <c r="E227" i="2"/>
  <c r="G227" i="2" s="1"/>
  <c r="I227" i="2" s="1"/>
  <c r="E226" i="2"/>
  <c r="G226" i="2" s="1"/>
  <c r="I226" i="2" s="1"/>
  <c r="E225" i="2"/>
  <c r="G225" i="2" s="1"/>
  <c r="I225" i="2" s="1"/>
  <c r="E224" i="2"/>
  <c r="G224" i="2" s="1"/>
  <c r="I224" i="2" s="1"/>
  <c r="E223" i="2"/>
  <c r="G223" i="2" s="1"/>
  <c r="I223" i="2" s="1"/>
  <c r="E222" i="2"/>
  <c r="G222" i="2" s="1"/>
  <c r="I222" i="2" s="1"/>
  <c r="E221" i="2"/>
  <c r="G221" i="2" s="1"/>
  <c r="I221" i="2" s="1"/>
  <c r="E220" i="2"/>
  <c r="G220" i="2" s="1"/>
  <c r="I220" i="2" s="1"/>
  <c r="E219" i="2"/>
  <c r="G219" i="2" s="1"/>
  <c r="I219" i="2" s="1"/>
  <c r="E218" i="2"/>
  <c r="G218" i="2" s="1"/>
  <c r="I218" i="2" s="1"/>
  <c r="E217" i="2"/>
  <c r="G217" i="2" s="1"/>
  <c r="I217" i="2" s="1"/>
  <c r="E216" i="2"/>
  <c r="G216" i="2" s="1"/>
  <c r="I216" i="2" s="1"/>
  <c r="E215" i="2"/>
  <c r="G215" i="2" s="1"/>
  <c r="I215" i="2" s="1"/>
  <c r="E214" i="2"/>
  <c r="G214" i="2" s="1"/>
  <c r="I214" i="2" s="1"/>
  <c r="E212" i="2"/>
  <c r="G212" i="2" s="1"/>
  <c r="I212" i="2" s="1"/>
  <c r="E211" i="2"/>
  <c r="G211" i="2" s="1"/>
  <c r="I211" i="2" s="1"/>
  <c r="E210" i="2"/>
  <c r="G210" i="2" s="1"/>
  <c r="I210" i="2" s="1"/>
  <c r="E209" i="2"/>
  <c r="G209" i="2" s="1"/>
  <c r="I209" i="2" s="1"/>
  <c r="E208" i="2"/>
  <c r="G208" i="2" s="1"/>
  <c r="I208" i="2" s="1"/>
  <c r="E207" i="2"/>
  <c r="E206" i="2"/>
  <c r="E205" i="2"/>
  <c r="E204" i="2"/>
  <c r="E202" i="2"/>
  <c r="E200" i="2"/>
  <c r="E199" i="2"/>
  <c r="G199" i="2" s="1"/>
  <c r="I199" i="2" s="1"/>
  <c r="E198" i="2"/>
  <c r="G198" i="2" s="1"/>
  <c r="I198" i="2" s="1"/>
  <c r="E197" i="2"/>
  <c r="G197" i="2" s="1"/>
  <c r="I197" i="2" s="1"/>
  <c r="E196" i="2"/>
  <c r="G196" i="2" s="1"/>
  <c r="I196" i="2" s="1"/>
  <c r="E195" i="2"/>
  <c r="G195" i="2" s="1"/>
  <c r="I195" i="2" s="1"/>
  <c r="E194" i="2"/>
  <c r="G194" i="2" s="1"/>
  <c r="I194" i="2" s="1"/>
  <c r="E193" i="2"/>
  <c r="G193" i="2" s="1"/>
  <c r="I193" i="2" s="1"/>
  <c r="E192" i="2"/>
  <c r="G192" i="2" s="1"/>
  <c r="I192" i="2" s="1"/>
  <c r="E191" i="2"/>
  <c r="G191" i="2" s="1"/>
  <c r="I191" i="2" s="1"/>
  <c r="E190" i="2"/>
  <c r="E189" i="2"/>
  <c r="E160" i="2"/>
  <c r="G160" i="2" s="1"/>
  <c r="I160" i="2" s="1"/>
  <c r="E159" i="2"/>
  <c r="G159" i="2" s="1"/>
  <c r="I159" i="2" s="1"/>
  <c r="E158" i="2"/>
  <c r="G158" i="2" s="1"/>
  <c r="I158" i="2" s="1"/>
  <c r="E157" i="2"/>
  <c r="G157" i="2" s="1"/>
  <c r="I157" i="2" s="1"/>
  <c r="E156" i="2"/>
  <c r="G156" i="2" s="1"/>
  <c r="I156" i="2" s="1"/>
  <c r="E155" i="2"/>
  <c r="G155" i="2" s="1"/>
  <c r="I155" i="2" s="1"/>
  <c r="E154" i="2"/>
  <c r="G154" i="2" s="1"/>
  <c r="I154" i="2" s="1"/>
  <c r="E153" i="2"/>
  <c r="G153" i="2" s="1"/>
  <c r="I153" i="2" s="1"/>
  <c r="E152" i="2"/>
  <c r="G152" i="2" s="1"/>
  <c r="I152" i="2" s="1"/>
  <c r="E151" i="2"/>
  <c r="G151" i="2" s="1"/>
  <c r="I151" i="2" s="1"/>
  <c r="E150" i="2"/>
  <c r="G150" i="2" s="1"/>
  <c r="I150" i="2" s="1"/>
  <c r="E149" i="2"/>
  <c r="G149" i="2" s="1"/>
  <c r="I149" i="2" s="1"/>
  <c r="E148" i="2"/>
  <c r="G148" i="2" s="1"/>
  <c r="I148" i="2" s="1"/>
  <c r="E146" i="2"/>
  <c r="G146" i="2" s="1"/>
  <c r="I146" i="2" s="1"/>
  <c r="E145" i="2"/>
  <c r="G145" i="2" s="1"/>
  <c r="I145" i="2" s="1"/>
  <c r="E144" i="2"/>
  <c r="G144" i="2" s="1"/>
  <c r="I144" i="2" s="1"/>
  <c r="E143" i="2"/>
  <c r="G143" i="2" s="1"/>
  <c r="I143" i="2" s="1"/>
  <c r="E142" i="2"/>
  <c r="G142" i="2" s="1"/>
  <c r="I142" i="2" s="1"/>
  <c r="E141" i="2"/>
  <c r="G141" i="2" s="1"/>
  <c r="I141" i="2" s="1"/>
  <c r="E140" i="2"/>
  <c r="G140" i="2" s="1"/>
  <c r="I140" i="2" s="1"/>
  <c r="E139" i="2"/>
  <c r="G139" i="2" s="1"/>
  <c r="I139" i="2" s="1"/>
  <c r="E138" i="2"/>
  <c r="G138" i="2" s="1"/>
  <c r="I138" i="2" s="1"/>
  <c r="E137" i="2"/>
  <c r="G137" i="2" s="1"/>
  <c r="I137" i="2" s="1"/>
  <c r="E136" i="2"/>
  <c r="G136" i="2" s="1"/>
  <c r="I136" i="2" s="1"/>
  <c r="E135" i="2"/>
  <c r="G135" i="2" s="1"/>
  <c r="I135" i="2" s="1"/>
  <c r="E134" i="2"/>
  <c r="G134" i="2" s="1"/>
  <c r="I134" i="2" s="1"/>
  <c r="E133" i="2"/>
  <c r="G133" i="2" s="1"/>
  <c r="I133" i="2" s="1"/>
  <c r="E132" i="2"/>
  <c r="G132" i="2" s="1"/>
  <c r="I132" i="2" s="1"/>
  <c r="E131" i="2"/>
  <c r="G131" i="2" s="1"/>
  <c r="I131" i="2" s="1"/>
  <c r="E130" i="2"/>
  <c r="G130" i="2" s="1"/>
  <c r="I130" i="2" s="1"/>
  <c r="E129" i="2"/>
  <c r="G129" i="2" s="1"/>
  <c r="I129" i="2" s="1"/>
  <c r="E128" i="2"/>
  <c r="G128" i="2" s="1"/>
  <c r="I128" i="2" s="1"/>
  <c r="E127" i="2"/>
  <c r="G127" i="2" s="1"/>
  <c r="I127" i="2" s="1"/>
  <c r="E126" i="2"/>
  <c r="G126" i="2" s="1"/>
  <c r="I126" i="2" s="1"/>
  <c r="E125" i="2"/>
  <c r="G125" i="2" s="1"/>
  <c r="I125" i="2" s="1"/>
  <c r="E124" i="2"/>
  <c r="G124" i="2" s="1"/>
  <c r="I124" i="2" s="1"/>
  <c r="E123" i="2"/>
  <c r="G123" i="2" s="1"/>
  <c r="I123" i="2" s="1"/>
  <c r="E122" i="2"/>
  <c r="G122" i="2" s="1"/>
  <c r="I122" i="2" s="1"/>
  <c r="E121" i="2"/>
  <c r="G121" i="2" s="1"/>
  <c r="I121" i="2" s="1"/>
  <c r="E120" i="2"/>
  <c r="G120" i="2" s="1"/>
  <c r="I120" i="2" s="1"/>
  <c r="E119" i="2"/>
  <c r="G119" i="2" s="1"/>
  <c r="I119" i="2" s="1"/>
  <c r="E118" i="2"/>
  <c r="G118" i="2" s="1"/>
  <c r="I118" i="2" s="1"/>
  <c r="E117" i="2"/>
  <c r="G117" i="2" s="1"/>
  <c r="I117" i="2" s="1"/>
  <c r="E116" i="2"/>
  <c r="G116" i="2" s="1"/>
  <c r="I116" i="2" s="1"/>
  <c r="E115" i="2"/>
  <c r="G115" i="2" s="1"/>
  <c r="I115" i="2" s="1"/>
  <c r="E114" i="2"/>
  <c r="G114" i="2" s="1"/>
  <c r="I114" i="2" s="1"/>
  <c r="E113" i="2"/>
  <c r="G113" i="2" s="1"/>
  <c r="I113" i="2" s="1"/>
  <c r="E112" i="2"/>
  <c r="G112" i="2" s="1"/>
  <c r="I112" i="2" s="1"/>
  <c r="E111" i="2"/>
  <c r="G111" i="2" s="1"/>
  <c r="I111" i="2" s="1"/>
  <c r="E110" i="2"/>
  <c r="G110" i="2" s="1"/>
  <c r="I110" i="2" s="1"/>
  <c r="E109" i="2"/>
  <c r="G109" i="2" s="1"/>
  <c r="I109" i="2" s="1"/>
  <c r="E108" i="2"/>
  <c r="G108" i="2" s="1"/>
  <c r="I108" i="2" s="1"/>
  <c r="E107" i="2"/>
  <c r="G107" i="2" s="1"/>
  <c r="I107" i="2" s="1"/>
  <c r="E106" i="2"/>
  <c r="G106" i="2" s="1"/>
  <c r="I106" i="2" s="1"/>
  <c r="E105" i="2"/>
  <c r="G105" i="2" s="1"/>
  <c r="I105" i="2" s="1"/>
  <c r="E104" i="2"/>
  <c r="G104" i="2" s="1"/>
  <c r="I104" i="2" s="1"/>
  <c r="E103" i="2"/>
  <c r="G103" i="2" s="1"/>
  <c r="I103" i="2" s="1"/>
  <c r="E102" i="2"/>
  <c r="G102" i="2" s="1"/>
  <c r="I102" i="2" s="1"/>
  <c r="E101" i="2"/>
  <c r="G101" i="2" s="1"/>
  <c r="I101" i="2" s="1"/>
  <c r="E100" i="2"/>
  <c r="G100" i="2" s="1"/>
  <c r="I100" i="2" s="1"/>
  <c r="E99" i="2"/>
  <c r="G99" i="2" s="1"/>
  <c r="I99" i="2" s="1"/>
  <c r="E98" i="2"/>
  <c r="G98" i="2" s="1"/>
  <c r="I98" i="2" s="1"/>
  <c r="E97" i="2"/>
  <c r="G97" i="2" s="1"/>
  <c r="I97" i="2" s="1"/>
  <c r="E96" i="2"/>
  <c r="G96" i="2" s="1"/>
  <c r="I96" i="2" s="1"/>
  <c r="E95" i="2"/>
  <c r="G95" i="2" s="1"/>
  <c r="I95" i="2" s="1"/>
  <c r="E94" i="2"/>
  <c r="G94" i="2" s="1"/>
  <c r="I94" i="2" s="1"/>
  <c r="E93" i="2"/>
  <c r="G93" i="2" s="1"/>
  <c r="I93" i="2" s="1"/>
  <c r="E92" i="2"/>
  <c r="G92" i="2" s="1"/>
  <c r="I92" i="2" s="1"/>
  <c r="E91" i="2"/>
  <c r="G91" i="2" s="1"/>
  <c r="I91" i="2" s="1"/>
  <c r="E90" i="2"/>
  <c r="G90" i="2" s="1"/>
  <c r="I90" i="2" s="1"/>
  <c r="E89" i="2"/>
  <c r="G89" i="2" s="1"/>
  <c r="I89" i="2" s="1"/>
  <c r="E88" i="2"/>
  <c r="G88" i="2" s="1"/>
  <c r="I88" i="2" s="1"/>
  <c r="E87" i="2"/>
  <c r="G87" i="2" s="1"/>
  <c r="I87" i="2" s="1"/>
  <c r="E86" i="2"/>
  <c r="G86" i="2" s="1"/>
  <c r="I86" i="2" s="1"/>
  <c r="E85" i="2"/>
  <c r="G85" i="2" s="1"/>
  <c r="I85" i="2" s="1"/>
  <c r="E84" i="2"/>
  <c r="G84" i="2" s="1"/>
  <c r="I84" i="2" s="1"/>
  <c r="E83" i="2"/>
  <c r="G83" i="2" s="1"/>
  <c r="I83" i="2" s="1"/>
  <c r="E82" i="2"/>
  <c r="G82" i="2" s="1"/>
  <c r="I82" i="2" s="1"/>
  <c r="E81" i="2"/>
  <c r="G81" i="2" s="1"/>
  <c r="I81" i="2" s="1"/>
  <c r="E80" i="2"/>
  <c r="G80" i="2" s="1"/>
  <c r="I80" i="2" s="1"/>
  <c r="E79" i="2"/>
  <c r="G79" i="2" s="1"/>
  <c r="I79" i="2" s="1"/>
  <c r="E78" i="2"/>
  <c r="G78" i="2" s="1"/>
  <c r="I78" i="2" s="1"/>
  <c r="E77" i="2"/>
  <c r="G77" i="2" s="1"/>
  <c r="I77" i="2" s="1"/>
  <c r="E76" i="2"/>
  <c r="G76" i="2" s="1"/>
  <c r="I76" i="2" s="1"/>
  <c r="E75" i="2"/>
  <c r="G75" i="2" s="1"/>
  <c r="I75" i="2" s="1"/>
  <c r="E74" i="2"/>
  <c r="G74" i="2" s="1"/>
  <c r="I74" i="2" s="1"/>
  <c r="E73" i="2"/>
  <c r="G73" i="2" s="1"/>
  <c r="I73" i="2" s="1"/>
  <c r="E72" i="2"/>
  <c r="G72" i="2" s="1"/>
  <c r="I72" i="2" s="1"/>
  <c r="E71" i="2"/>
  <c r="G71" i="2" s="1"/>
  <c r="I71" i="2" s="1"/>
  <c r="E70" i="2"/>
  <c r="G70" i="2" s="1"/>
  <c r="I70" i="2" s="1"/>
  <c r="E69" i="2"/>
  <c r="G69" i="2" s="1"/>
  <c r="I69" i="2" s="1"/>
  <c r="E68" i="2"/>
  <c r="G68" i="2" s="1"/>
  <c r="I68" i="2" s="1"/>
  <c r="E67" i="2"/>
  <c r="G67" i="2" s="1"/>
  <c r="I67" i="2" s="1"/>
  <c r="E66" i="2"/>
  <c r="G66" i="2" s="1"/>
  <c r="I66" i="2" s="1"/>
  <c r="E65" i="2"/>
  <c r="G65" i="2" s="1"/>
  <c r="I65" i="2" s="1"/>
  <c r="E64" i="2"/>
  <c r="G64" i="2" s="1"/>
  <c r="I64" i="2" s="1"/>
  <c r="E63" i="2"/>
  <c r="G63" i="2" s="1"/>
  <c r="I63" i="2" s="1"/>
  <c r="E62" i="2"/>
  <c r="G62" i="2" s="1"/>
  <c r="I62" i="2" s="1"/>
  <c r="E61" i="2"/>
  <c r="G61" i="2" s="1"/>
  <c r="I61" i="2" s="1"/>
  <c r="E60" i="2"/>
  <c r="G60" i="2" s="1"/>
  <c r="I60" i="2" s="1"/>
  <c r="E59" i="2"/>
  <c r="G59" i="2" s="1"/>
  <c r="I59" i="2" s="1"/>
  <c r="E58" i="2"/>
  <c r="G58" i="2" s="1"/>
  <c r="I58" i="2" s="1"/>
  <c r="E57" i="2"/>
  <c r="G57" i="2" s="1"/>
  <c r="I57" i="2" s="1"/>
  <c r="E56" i="2"/>
  <c r="G56" i="2" s="1"/>
  <c r="I56" i="2" s="1"/>
  <c r="E55" i="2"/>
  <c r="G55" i="2" s="1"/>
  <c r="I55" i="2" s="1"/>
  <c r="E54" i="2"/>
  <c r="G54" i="2" s="1"/>
  <c r="I54" i="2" s="1"/>
  <c r="E53" i="2"/>
  <c r="G53" i="2" s="1"/>
  <c r="I53" i="2" s="1"/>
  <c r="E52" i="2"/>
  <c r="E51" i="2"/>
  <c r="E50" i="2"/>
  <c r="E49" i="2"/>
  <c r="E48" i="2"/>
  <c r="E47" i="2"/>
  <c r="E45" i="2"/>
  <c r="E43" i="2"/>
  <c r="G43" i="2" s="1"/>
  <c r="I43" i="2" s="1"/>
  <c r="E42" i="2"/>
  <c r="G42" i="2" s="1"/>
  <c r="I42" i="2" s="1"/>
  <c r="E41" i="2"/>
  <c r="G41" i="2" s="1"/>
  <c r="I41" i="2" s="1"/>
  <c r="E40" i="2"/>
  <c r="G40" i="2" s="1"/>
  <c r="I40" i="2" s="1"/>
  <c r="E39" i="2"/>
  <c r="G39" i="2" s="1"/>
  <c r="I39" i="2" s="1"/>
  <c r="E38" i="2"/>
  <c r="G38" i="2" s="1"/>
  <c r="I38" i="2" s="1"/>
  <c r="E37" i="2"/>
  <c r="G37" i="2" s="1"/>
  <c r="I37" i="2" s="1"/>
  <c r="E36" i="2"/>
  <c r="G36" i="2" s="1"/>
  <c r="I36" i="2" s="1"/>
  <c r="E35" i="2"/>
  <c r="G35" i="2" s="1"/>
  <c r="I35" i="2" s="1"/>
  <c r="E34" i="2"/>
  <c r="G34" i="2" s="1"/>
  <c r="I34" i="2" s="1"/>
  <c r="E33" i="2"/>
  <c r="E32" i="2"/>
  <c r="E31" i="2"/>
  <c r="E27" i="2"/>
  <c r="G27" i="2" s="1"/>
  <c r="I27" i="2" s="1"/>
  <c r="E26" i="2"/>
  <c r="G26" i="2" s="1"/>
  <c r="I26" i="2" s="1"/>
  <c r="E24" i="2"/>
  <c r="G24" i="2" s="1"/>
  <c r="I24" i="2" s="1"/>
  <c r="E23" i="2"/>
  <c r="G23" i="2" s="1"/>
  <c r="I23" i="2" s="1"/>
  <c r="E22" i="2"/>
  <c r="G22" i="2" s="1"/>
  <c r="I22" i="2" s="1"/>
  <c r="E18" i="2"/>
  <c r="G18" i="2" s="1"/>
  <c r="I18" i="2" s="1"/>
  <c r="E17" i="2"/>
  <c r="G17" i="2" s="1"/>
  <c r="I17" i="2" s="1"/>
  <c r="E16" i="2"/>
  <c r="G16" i="2" s="1"/>
  <c r="I16" i="2" s="1"/>
  <c r="E15" i="2"/>
  <c r="G15" i="2" s="1"/>
  <c r="I15" i="2" s="1"/>
  <c r="E14" i="2"/>
  <c r="G14" i="2" s="1"/>
  <c r="I14" i="2" s="1"/>
  <c r="D14" i="1"/>
  <c r="D20" i="1"/>
  <c r="D25" i="1"/>
  <c r="D33" i="1"/>
  <c r="D47" i="1"/>
  <c r="D68" i="1"/>
  <c r="D101" i="1"/>
  <c r="D123" i="1"/>
  <c r="D127" i="1"/>
  <c r="D138" i="1"/>
  <c r="D153" i="1" s="1"/>
  <c r="E156" i="1"/>
  <c r="E154" i="1"/>
  <c r="E152" i="1"/>
  <c r="E150" i="1"/>
  <c r="E149" i="1"/>
  <c r="G149" i="1" s="1"/>
  <c r="I149" i="1" s="1"/>
  <c r="E148" i="1"/>
  <c r="G148" i="1" s="1"/>
  <c r="I148" i="1" s="1"/>
  <c r="E147" i="1"/>
  <c r="G147" i="1" s="1"/>
  <c r="I147" i="1" s="1"/>
  <c r="E146" i="1"/>
  <c r="G146" i="1" s="1"/>
  <c r="I146" i="1" s="1"/>
  <c r="E145" i="1"/>
  <c r="G145" i="1" s="1"/>
  <c r="I145" i="1" s="1"/>
  <c r="E144" i="1"/>
  <c r="G144" i="1" s="1"/>
  <c r="I144" i="1" s="1"/>
  <c r="E143" i="1"/>
  <c r="G143" i="1" s="1"/>
  <c r="I143" i="1" s="1"/>
  <c r="E142" i="1"/>
  <c r="G142" i="1" s="1"/>
  <c r="I142" i="1" s="1"/>
  <c r="E141" i="1"/>
  <c r="G141" i="1" s="1"/>
  <c r="I141" i="1" s="1"/>
  <c r="E140" i="1"/>
  <c r="E139" i="1"/>
  <c r="E137" i="1"/>
  <c r="E136" i="1"/>
  <c r="G136" i="1" s="1"/>
  <c r="I136" i="1" s="1"/>
  <c r="E135" i="1"/>
  <c r="G135" i="1" s="1"/>
  <c r="E134" i="1"/>
  <c r="E133" i="1"/>
  <c r="E132" i="1"/>
  <c r="E131" i="1"/>
  <c r="E130" i="1"/>
  <c r="E128" i="1"/>
  <c r="E126" i="1"/>
  <c r="E125" i="1"/>
  <c r="E124" i="1"/>
  <c r="E122" i="1"/>
  <c r="G122" i="1" s="1"/>
  <c r="I122" i="1" s="1"/>
  <c r="E121" i="1"/>
  <c r="G121" i="1" s="1"/>
  <c r="I121" i="1" s="1"/>
  <c r="E119" i="1"/>
  <c r="G119" i="1" s="1"/>
  <c r="I119" i="1" s="1"/>
  <c r="E118" i="1"/>
  <c r="G118" i="1" s="1"/>
  <c r="I118" i="1" s="1"/>
  <c r="E117" i="1"/>
  <c r="G117" i="1" s="1"/>
  <c r="I117" i="1" s="1"/>
  <c r="E116" i="1"/>
  <c r="G116" i="1" s="1"/>
  <c r="I116" i="1" s="1"/>
  <c r="E115" i="1"/>
  <c r="G115" i="1" s="1"/>
  <c r="I115" i="1" s="1"/>
  <c r="E114" i="1"/>
  <c r="G114" i="1" s="1"/>
  <c r="I114" i="1" s="1"/>
  <c r="E113" i="1"/>
  <c r="G113" i="1" s="1"/>
  <c r="I113" i="1" s="1"/>
  <c r="E112" i="1"/>
  <c r="G112" i="1" s="1"/>
  <c r="I112" i="1" s="1"/>
  <c r="E111" i="1"/>
  <c r="G111" i="1" s="1"/>
  <c r="I111" i="1" s="1"/>
  <c r="E110" i="1"/>
  <c r="G110" i="1" s="1"/>
  <c r="I110" i="1" s="1"/>
  <c r="E109" i="1"/>
  <c r="G109" i="1" s="1"/>
  <c r="I109" i="1" s="1"/>
  <c r="E108" i="1"/>
  <c r="G108" i="1" s="1"/>
  <c r="I108" i="1" s="1"/>
  <c r="E107" i="1"/>
  <c r="G107" i="1" s="1"/>
  <c r="I107" i="1" s="1"/>
  <c r="E106" i="1"/>
  <c r="G106" i="1" s="1"/>
  <c r="I106" i="1" s="1"/>
  <c r="E105" i="1"/>
  <c r="G105" i="1" s="1"/>
  <c r="I105" i="1" s="1"/>
  <c r="E104" i="1"/>
  <c r="E103" i="1"/>
  <c r="E102" i="1"/>
  <c r="E100" i="1"/>
  <c r="G100" i="1" s="1"/>
  <c r="I100" i="1" s="1"/>
  <c r="E99" i="1"/>
  <c r="G99" i="1" s="1"/>
  <c r="I99" i="1" s="1"/>
  <c r="E98" i="1"/>
  <c r="G98" i="1" s="1"/>
  <c r="I98" i="1" s="1"/>
  <c r="E97" i="1"/>
  <c r="G97" i="1" s="1"/>
  <c r="I97" i="1" s="1"/>
  <c r="E96" i="1"/>
  <c r="G96" i="1" s="1"/>
  <c r="I96" i="1" s="1"/>
  <c r="E95" i="1"/>
  <c r="G95" i="1" s="1"/>
  <c r="I95" i="1" s="1"/>
  <c r="E94" i="1"/>
  <c r="G94" i="1" s="1"/>
  <c r="I94" i="1" s="1"/>
  <c r="E93" i="1"/>
  <c r="G93" i="1" s="1"/>
  <c r="I93" i="1" s="1"/>
  <c r="E92" i="1"/>
  <c r="G92" i="1" s="1"/>
  <c r="I92" i="1" s="1"/>
  <c r="E91" i="1"/>
  <c r="G91" i="1" s="1"/>
  <c r="I91" i="1" s="1"/>
  <c r="E90" i="1"/>
  <c r="G90" i="1" s="1"/>
  <c r="I90" i="1" s="1"/>
  <c r="E89" i="1"/>
  <c r="G89" i="1" s="1"/>
  <c r="I89" i="1" s="1"/>
  <c r="E88" i="1"/>
  <c r="G88" i="1" s="1"/>
  <c r="I88" i="1" s="1"/>
  <c r="E87" i="1"/>
  <c r="G87" i="1" s="1"/>
  <c r="I87" i="1" s="1"/>
  <c r="E86" i="1"/>
  <c r="G86" i="1" s="1"/>
  <c r="I86" i="1" s="1"/>
  <c r="E85" i="1"/>
  <c r="G85" i="1" s="1"/>
  <c r="I85" i="1" s="1"/>
  <c r="E84" i="1"/>
  <c r="G84" i="1" s="1"/>
  <c r="I84" i="1" s="1"/>
  <c r="E83" i="1"/>
  <c r="G83" i="1" s="1"/>
  <c r="I83" i="1" s="1"/>
  <c r="E82" i="1"/>
  <c r="G82" i="1" s="1"/>
  <c r="I82" i="1" s="1"/>
  <c r="E81" i="1"/>
  <c r="G81" i="1" s="1"/>
  <c r="I81" i="1" s="1"/>
  <c r="E80" i="1"/>
  <c r="G80" i="1" s="1"/>
  <c r="I80" i="1" s="1"/>
  <c r="E79" i="1"/>
  <c r="G79" i="1" s="1"/>
  <c r="I79" i="1" s="1"/>
  <c r="E78" i="1"/>
  <c r="E77" i="1"/>
  <c r="E76" i="1"/>
  <c r="E75" i="1"/>
  <c r="E74" i="1"/>
  <c r="E73" i="1"/>
  <c r="E72" i="1"/>
  <c r="E71" i="1"/>
  <c r="E70" i="1"/>
  <c r="E69" i="1"/>
  <c r="E67" i="1"/>
  <c r="G67" i="1" s="1"/>
  <c r="I67" i="1" s="1"/>
  <c r="E65" i="1"/>
  <c r="G65" i="1" s="1"/>
  <c r="I65" i="1" s="1"/>
  <c r="E64" i="1"/>
  <c r="G64" i="1" s="1"/>
  <c r="I64" i="1" s="1"/>
  <c r="E63" i="1"/>
  <c r="G63" i="1" s="1"/>
  <c r="I63" i="1" s="1"/>
  <c r="E62" i="1"/>
  <c r="G62" i="1" s="1"/>
  <c r="I62" i="1" s="1"/>
  <c r="E61" i="1"/>
  <c r="G61" i="1" s="1"/>
  <c r="I61" i="1" s="1"/>
  <c r="E60" i="1"/>
  <c r="G60" i="1" s="1"/>
  <c r="I60" i="1" s="1"/>
  <c r="E59" i="1"/>
  <c r="G59" i="1" s="1"/>
  <c r="E58" i="1"/>
  <c r="G58" i="1" s="1"/>
  <c r="E57" i="1"/>
  <c r="E56" i="1"/>
  <c r="E55" i="1"/>
  <c r="E53" i="1"/>
  <c r="E51" i="1"/>
  <c r="G51" i="1" s="1"/>
  <c r="I51" i="1" s="1"/>
  <c r="E50" i="1"/>
  <c r="E49" i="1"/>
  <c r="E48" i="1"/>
  <c r="E46" i="1"/>
  <c r="G46" i="1" s="1"/>
  <c r="I46" i="1" s="1"/>
  <c r="E44" i="1"/>
  <c r="G44" i="1" s="1"/>
  <c r="I44" i="1" s="1"/>
  <c r="E43" i="1"/>
  <c r="G43" i="1" s="1"/>
  <c r="I43" i="1" s="1"/>
  <c r="E42" i="1"/>
  <c r="G42" i="1" s="1"/>
  <c r="I42" i="1" s="1"/>
  <c r="E41" i="1"/>
  <c r="G41" i="1" s="1"/>
  <c r="I41" i="1" s="1"/>
  <c r="E40" i="1"/>
  <c r="G40" i="1" s="1"/>
  <c r="I40" i="1" s="1"/>
  <c r="E39" i="1"/>
  <c r="G39" i="1" s="1"/>
  <c r="I39" i="1" s="1"/>
  <c r="E38" i="1"/>
  <c r="G38" i="1" s="1"/>
  <c r="I38" i="1" s="1"/>
  <c r="E37" i="1"/>
  <c r="G37" i="1" s="1"/>
  <c r="I37" i="1" s="1"/>
  <c r="E36" i="1"/>
  <c r="G36" i="1" s="1"/>
  <c r="I36" i="1" s="1"/>
  <c r="E35" i="1"/>
  <c r="E34" i="1"/>
  <c r="E32" i="1"/>
  <c r="G32" i="1" s="1"/>
  <c r="I32" i="1" s="1"/>
  <c r="E31" i="1"/>
  <c r="G31" i="1" s="1"/>
  <c r="I31" i="1" s="1"/>
  <c r="E30" i="1"/>
  <c r="G30" i="1" s="1"/>
  <c r="I30" i="1" s="1"/>
  <c r="E29" i="1"/>
  <c r="G29" i="1" s="1"/>
  <c r="I29" i="1" s="1"/>
  <c r="E28" i="1"/>
  <c r="E27" i="1"/>
  <c r="E26" i="1"/>
  <c r="E24" i="1"/>
  <c r="G24" i="1" s="1"/>
  <c r="I24" i="1" s="1"/>
  <c r="E23" i="1"/>
  <c r="E22" i="1"/>
  <c r="E21" i="1"/>
  <c r="E19" i="1"/>
  <c r="G19" i="1" s="1"/>
  <c r="I19" i="1" s="1"/>
  <c r="E18" i="1"/>
  <c r="G18" i="1" s="1"/>
  <c r="I18" i="1" s="1"/>
  <c r="E17" i="1"/>
  <c r="G17" i="1" s="1"/>
  <c r="I17" i="1" s="1"/>
  <c r="E16" i="1"/>
  <c r="E13" i="1"/>
  <c r="D10" i="1"/>
  <c r="E9" i="1"/>
  <c r="G9" i="1" s="1"/>
  <c r="E8" i="1"/>
  <c r="G207" i="2" l="1"/>
  <c r="E291" i="2"/>
  <c r="G52" i="2"/>
  <c r="G9" i="5"/>
  <c r="I9" i="5" s="1"/>
  <c r="S9" i="5" s="1"/>
  <c r="R7" i="5"/>
  <c r="I173" i="4"/>
  <c r="I176" i="4" s="1"/>
  <c r="G50" i="7"/>
  <c r="I50" i="7" s="1"/>
  <c r="G51" i="7"/>
  <c r="I51" i="7" s="1"/>
  <c r="Q143" i="4"/>
  <c r="S143" i="4"/>
  <c r="I41" i="5"/>
  <c r="G126" i="3"/>
  <c r="E135" i="3"/>
  <c r="G157" i="3"/>
  <c r="I150" i="3"/>
  <c r="I35" i="3"/>
  <c r="I22" i="3"/>
  <c r="I239" i="3"/>
  <c r="G170" i="3"/>
  <c r="H170" i="3" s="1"/>
  <c r="F171" i="3"/>
  <c r="F243" i="3" s="1"/>
  <c r="F245" i="3" s="1"/>
  <c r="I179" i="3"/>
  <c r="I11" i="3"/>
  <c r="I13" i="3" s="1"/>
  <c r="I123" i="3"/>
  <c r="I30" i="2"/>
  <c r="I443" i="2"/>
  <c r="I424" i="2"/>
  <c r="G33" i="2"/>
  <c r="E44" i="2"/>
  <c r="G116" i="7"/>
  <c r="I107" i="7"/>
  <c r="I86" i="7"/>
  <c r="I46" i="7"/>
  <c r="I104" i="7"/>
  <c r="I87" i="6"/>
  <c r="I120" i="6"/>
  <c r="I134" i="6" s="1"/>
  <c r="G179" i="4"/>
  <c r="E189" i="4"/>
  <c r="I92" i="4"/>
  <c r="I107" i="4" s="1"/>
  <c r="I152" i="4"/>
  <c r="G155" i="4"/>
  <c r="E165" i="4"/>
  <c r="I67" i="4"/>
  <c r="I20" i="1"/>
  <c r="D43" i="5"/>
  <c r="D45" i="5" s="1"/>
  <c r="G41" i="5"/>
  <c r="I101" i="1"/>
  <c r="I123" i="1"/>
  <c r="I47" i="1"/>
  <c r="I135" i="1"/>
  <c r="G68" i="1"/>
  <c r="I59" i="1"/>
  <c r="I9" i="1"/>
  <c r="G20" i="1"/>
  <c r="E52" i="1"/>
  <c r="G50" i="1"/>
  <c r="I50" i="1" s="1"/>
  <c r="E25" i="1"/>
  <c r="G23" i="1"/>
  <c r="E14" i="1"/>
  <c r="G13" i="1"/>
  <c r="G47" i="1"/>
  <c r="G101" i="1"/>
  <c r="E33" i="1"/>
  <c r="G28" i="1"/>
  <c r="E127" i="1"/>
  <c r="G126" i="1"/>
  <c r="E10" i="1"/>
  <c r="G8" i="1"/>
  <c r="I8" i="1" s="1"/>
  <c r="G123" i="1"/>
  <c r="G87" i="6"/>
  <c r="G120" i="6"/>
  <c r="G134" i="6" s="1"/>
  <c r="G104" i="7"/>
  <c r="E9" i="7"/>
  <c r="E11" i="7" s="1"/>
  <c r="G8" i="7"/>
  <c r="G46" i="7"/>
  <c r="G86" i="7"/>
  <c r="G443" i="2"/>
  <c r="E304" i="2"/>
  <c r="G294" i="2"/>
  <c r="G424" i="2"/>
  <c r="G30" i="2"/>
  <c r="D37" i="3"/>
  <c r="G239" i="3"/>
  <c r="G9" i="6"/>
  <c r="E68" i="6"/>
  <c r="E105" i="4"/>
  <c r="G95" i="4"/>
  <c r="G67" i="4"/>
  <c r="G152" i="4"/>
  <c r="G92" i="4"/>
  <c r="E71" i="4"/>
  <c r="G70" i="4"/>
  <c r="G176" i="4"/>
  <c r="G190" i="3"/>
  <c r="E200" i="3"/>
  <c r="G181" i="3"/>
  <c r="E187" i="3"/>
  <c r="G207" i="3"/>
  <c r="E219" i="3"/>
  <c r="G22" i="3"/>
  <c r="G11" i="3"/>
  <c r="G13" i="3" s="1"/>
  <c r="G123" i="3"/>
  <c r="G35" i="3"/>
  <c r="E146" i="3"/>
  <c r="G144" i="3"/>
  <c r="D129" i="1"/>
  <c r="D155" i="1" s="1"/>
  <c r="E68" i="1"/>
  <c r="E123" i="1"/>
  <c r="E101" i="1"/>
  <c r="E86" i="7"/>
  <c r="D73" i="4"/>
  <c r="D193" i="4" s="1"/>
  <c r="D195" i="4" s="1"/>
  <c r="E20" i="1"/>
  <c r="E47" i="1"/>
  <c r="E138" i="1"/>
  <c r="E152" i="4"/>
  <c r="E87" i="6"/>
  <c r="E18" i="5"/>
  <c r="E41" i="5"/>
  <c r="E67" i="4"/>
  <c r="E92" i="4"/>
  <c r="E176" i="4"/>
  <c r="D136" i="6"/>
  <c r="E120" i="6"/>
  <c r="E134" i="6" s="1"/>
  <c r="D241" i="3"/>
  <c r="E116" i="7"/>
  <c r="D78" i="7"/>
  <c r="D122" i="7" s="1"/>
  <c r="E69" i="7"/>
  <c r="E424" i="2"/>
  <c r="E443" i="2"/>
  <c r="E30" i="2"/>
  <c r="D445" i="2"/>
  <c r="D447" i="2" s="1"/>
  <c r="D449" i="2" s="1"/>
  <c r="E11" i="3"/>
  <c r="E13" i="3" s="1"/>
  <c r="E239" i="3"/>
  <c r="E157" i="3"/>
  <c r="E171" i="3" s="1"/>
  <c r="E22" i="3"/>
  <c r="E35" i="3"/>
  <c r="E123" i="3"/>
  <c r="E104" i="7"/>
  <c r="E46" i="7"/>
  <c r="D54" i="1"/>
  <c r="I207" i="2" l="1"/>
  <c r="I291" i="2" s="1"/>
  <c r="G291" i="2"/>
  <c r="I52" i="2"/>
  <c r="I18" i="5"/>
  <c r="G18" i="5"/>
  <c r="G43" i="5" s="1"/>
  <c r="G45" i="5" s="1"/>
  <c r="G69" i="7"/>
  <c r="G78" i="7" s="1"/>
  <c r="I69" i="7"/>
  <c r="I78" i="7" s="1"/>
  <c r="H171" i="3"/>
  <c r="H243" i="3" s="1"/>
  <c r="H245" i="3" s="1"/>
  <c r="I37" i="3"/>
  <c r="I157" i="3"/>
  <c r="G200" i="3"/>
  <c r="I190" i="3"/>
  <c r="I170" i="3"/>
  <c r="J170" i="3" s="1"/>
  <c r="F16" i="8" s="1"/>
  <c r="G171" i="3"/>
  <c r="G187" i="3"/>
  <c r="I181" i="3"/>
  <c r="G219" i="3"/>
  <c r="G241" i="3" s="1"/>
  <c r="I207" i="3"/>
  <c r="G146" i="3"/>
  <c r="I144" i="3"/>
  <c r="I126" i="3"/>
  <c r="G135" i="3"/>
  <c r="G137" i="3" s="1"/>
  <c r="G304" i="2"/>
  <c r="I294" i="2"/>
  <c r="I304" i="2" s="1"/>
  <c r="I445" i="2"/>
  <c r="G44" i="2"/>
  <c r="G46" i="2" s="1"/>
  <c r="I33" i="2"/>
  <c r="I116" i="7"/>
  <c r="G9" i="7"/>
  <c r="G11" i="7" s="1"/>
  <c r="I8" i="7"/>
  <c r="G68" i="6"/>
  <c r="I9" i="6"/>
  <c r="G105" i="4"/>
  <c r="G107" i="4" s="1"/>
  <c r="I95" i="4"/>
  <c r="G189" i="4"/>
  <c r="I179" i="4"/>
  <c r="G71" i="4"/>
  <c r="I70" i="4"/>
  <c r="I155" i="4"/>
  <c r="G165" i="4"/>
  <c r="G52" i="1"/>
  <c r="I10" i="1"/>
  <c r="I68" i="1"/>
  <c r="I52" i="1"/>
  <c r="I126" i="1"/>
  <c r="G25" i="1"/>
  <c r="I23" i="1"/>
  <c r="G14" i="1"/>
  <c r="I13" i="1"/>
  <c r="G33" i="1"/>
  <c r="I28" i="1"/>
  <c r="D157" i="1"/>
  <c r="G10" i="1"/>
  <c r="G445" i="2"/>
  <c r="G119" i="7"/>
  <c r="D243" i="3"/>
  <c r="D245" i="3" s="1"/>
  <c r="G37" i="3"/>
  <c r="E241" i="3"/>
  <c r="E119" i="7"/>
  <c r="E37" i="3"/>
  <c r="E129" i="1"/>
  <c r="E43" i="5"/>
  <c r="E78" i="7"/>
  <c r="D121" i="7"/>
  <c r="E202" i="3"/>
  <c r="E445" i="2"/>
  <c r="G306" i="2" l="1"/>
  <c r="I306" i="2"/>
  <c r="K170" i="3"/>
  <c r="K171" i="3" s="1"/>
  <c r="J171" i="3"/>
  <c r="I43" i="5"/>
  <c r="I45" i="5" s="1"/>
  <c r="G202" i="3"/>
  <c r="G243" i="3" s="1"/>
  <c r="G245" i="3" s="1"/>
  <c r="I119" i="7"/>
  <c r="I121" i="7" s="1"/>
  <c r="I146" i="3"/>
  <c r="I171" i="3"/>
  <c r="I219" i="3"/>
  <c r="I241" i="3" s="1"/>
  <c r="I187" i="3"/>
  <c r="I200" i="3"/>
  <c r="I135" i="3"/>
  <c r="I44" i="2"/>
  <c r="I46" i="2" s="1"/>
  <c r="I9" i="7"/>
  <c r="G89" i="6"/>
  <c r="G136" i="6" s="1"/>
  <c r="I68" i="6"/>
  <c r="I189" i="4"/>
  <c r="I191" i="4" s="1"/>
  <c r="I165" i="4"/>
  <c r="I71" i="4"/>
  <c r="G54" i="1"/>
  <c r="I33" i="1"/>
  <c r="I25" i="1"/>
  <c r="I14" i="1"/>
  <c r="G122" i="7"/>
  <c r="G129" i="1"/>
  <c r="G121" i="7"/>
  <c r="E122" i="7"/>
  <c r="E45" i="5"/>
  <c r="E121" i="7"/>
  <c r="C104" i="7"/>
  <c r="C176" i="4"/>
  <c r="J243" i="3" l="1"/>
  <c r="J245" i="3" s="1"/>
  <c r="G157" i="1"/>
  <c r="G155" i="1"/>
  <c r="L170" i="3"/>
  <c r="L171" i="3" s="1"/>
  <c r="I89" i="6"/>
  <c r="I136" i="6" s="1"/>
  <c r="I202" i="3"/>
  <c r="I137" i="3"/>
  <c r="I11" i="7"/>
  <c r="I122" i="7" s="1"/>
  <c r="I167" i="4"/>
  <c r="I54" i="1"/>
  <c r="I129" i="1"/>
  <c r="C219" i="3"/>
  <c r="I155" i="1" l="1"/>
  <c r="I157" i="1"/>
  <c r="I243" i="3"/>
  <c r="I245" i="3" s="1"/>
  <c r="C313" i="2" l="1"/>
  <c r="E313" i="2" s="1"/>
  <c r="E345" i="2" s="1"/>
  <c r="G313" i="2" l="1"/>
  <c r="C147" i="2"/>
  <c r="E147" i="2" s="1"/>
  <c r="E188" i="2" s="1"/>
  <c r="G345" i="2" l="1"/>
  <c r="G361" i="2" s="1"/>
  <c r="I313" i="2"/>
  <c r="G147" i="2"/>
  <c r="G188" i="2" s="1"/>
  <c r="C69" i="7"/>
  <c r="C46" i="7"/>
  <c r="F203" i="2" l="1"/>
  <c r="F447" i="2" s="1"/>
  <c r="F449" i="2" s="1"/>
  <c r="G203" i="2"/>
  <c r="G447" i="2" s="1"/>
  <c r="G449" i="2" s="1"/>
  <c r="I147" i="2"/>
  <c r="I188" i="2" s="1"/>
  <c r="I345" i="2"/>
  <c r="C78" i="7"/>
  <c r="I203" i="2" l="1"/>
  <c r="H203" i="2"/>
  <c r="H447" i="2" s="1"/>
  <c r="H449" i="2" s="1"/>
  <c r="I361" i="2"/>
  <c r="C187" i="3"/>
  <c r="C202" i="3" s="1"/>
  <c r="I447" i="2" l="1"/>
  <c r="I449" i="2" s="1"/>
  <c r="C424" i="2" l="1"/>
  <c r="C345" i="2" l="1"/>
  <c r="E306" i="2" l="1"/>
  <c r="C291" i="2"/>
  <c r="E203" i="2"/>
  <c r="C306" i="2" l="1"/>
  <c r="C188" i="2"/>
  <c r="C203" i="2" s="1"/>
  <c r="C189" i="4" l="1"/>
  <c r="C165" i="4"/>
  <c r="C152" i="4"/>
  <c r="E167" i="4" l="1"/>
  <c r="E191" i="4"/>
  <c r="G191" i="4"/>
  <c r="C191" i="4"/>
  <c r="C167" i="4"/>
  <c r="C105" i="4"/>
  <c r="C92" i="4"/>
  <c r="G167" i="4" l="1"/>
  <c r="E107" i="4"/>
  <c r="C107" i="4"/>
  <c r="C157" i="3" l="1"/>
  <c r="C146" i="3"/>
  <c r="J6" i="8" s="1"/>
  <c r="K46" i="1"/>
  <c r="L46" i="1" s="1"/>
  <c r="K32" i="1"/>
  <c r="L32" i="1" s="1"/>
  <c r="K33" i="1" l="1"/>
  <c r="K47" i="1"/>
  <c r="L33" i="1"/>
  <c r="L47" i="1"/>
  <c r="E6" i="9"/>
  <c r="I6" i="9" s="1"/>
  <c r="K149" i="1"/>
  <c r="L149" i="1" s="1"/>
  <c r="K148" i="1"/>
  <c r="L148" i="1" s="1"/>
  <c r="K147" i="1"/>
  <c r="L147" i="1" s="1"/>
  <c r="K146" i="1"/>
  <c r="L146" i="1" s="1"/>
  <c r="K145" i="1"/>
  <c r="L145" i="1" s="1"/>
  <c r="K144" i="1"/>
  <c r="L144" i="1" s="1"/>
  <c r="K143" i="1"/>
  <c r="L143" i="1" s="1"/>
  <c r="K142" i="1"/>
  <c r="L142" i="1" s="1"/>
  <c r="K141" i="1"/>
  <c r="L141" i="1" s="1"/>
  <c r="K104" i="1"/>
  <c r="C151" i="1"/>
  <c r="E151" i="1" s="1"/>
  <c r="C138" i="1"/>
  <c r="K138" i="1" l="1"/>
  <c r="K54" i="1"/>
  <c r="K68" i="1"/>
  <c r="K101" i="1"/>
  <c r="E153" i="1"/>
  <c r="E155" i="1" s="1"/>
  <c r="F151" i="1"/>
  <c r="L54" i="1"/>
  <c r="L127" i="1"/>
  <c r="L138" i="1"/>
  <c r="L104" i="1"/>
  <c r="L123" i="1" s="1"/>
  <c r="L68" i="1"/>
  <c r="E6" i="10"/>
  <c r="I6" i="10" s="1"/>
  <c r="C153" i="1"/>
  <c r="K129" i="1" l="1"/>
  <c r="G151" i="1"/>
  <c r="H151" i="1"/>
  <c r="L101" i="1"/>
  <c r="L129" i="1" s="1"/>
  <c r="I151" i="1" l="1"/>
  <c r="C116" i="7"/>
  <c r="C119" i="7" s="1"/>
  <c r="H30" i="9"/>
  <c r="H28" i="10"/>
  <c r="C86" i="7"/>
  <c r="K151" i="1" l="1"/>
  <c r="K153" i="1" s="1"/>
  <c r="L151" i="1" l="1"/>
  <c r="L153" i="1" s="1"/>
  <c r="L157" i="1" s="1"/>
  <c r="K155" i="1"/>
  <c r="K157" i="1"/>
  <c r="L155" i="1" l="1"/>
  <c r="E46" i="2"/>
  <c r="E361" i="2"/>
  <c r="E447" i="2" l="1"/>
  <c r="E449" i="2" s="1"/>
  <c r="C361" i="2"/>
  <c r="C239" i="3" l="1"/>
  <c r="C241" i="3" l="1"/>
  <c r="C171" i="3"/>
  <c r="C123" i="3" l="1"/>
  <c r="C120" i="6"/>
  <c r="C22" i="3"/>
  <c r="C37" i="3" s="1"/>
  <c r="C132" i="6" l="1"/>
  <c r="C134" i="6" s="1"/>
  <c r="E22" i="10" l="1"/>
  <c r="H23" i="9"/>
  <c r="H18" i="9" l="1"/>
  <c r="H22" i="10"/>
  <c r="C68" i="6"/>
  <c r="E89" i="6" l="1"/>
  <c r="F23" i="9" l="1"/>
  <c r="E136" i="6"/>
  <c r="C30" i="2"/>
  <c r="F22" i="10" l="1"/>
  <c r="C46" i="2"/>
  <c r="C101" i="1"/>
  <c r="C9" i="7"/>
  <c r="I25" i="9" l="1"/>
  <c r="G13" i="8"/>
  <c r="F15" i="9"/>
  <c r="F13" i="10"/>
  <c r="H13" i="8"/>
  <c r="E13" i="8"/>
  <c r="D13" i="8"/>
  <c r="H13" i="10"/>
  <c r="D13" i="10"/>
  <c r="G13" i="10"/>
  <c r="G15" i="9"/>
  <c r="D15" i="9"/>
  <c r="C15" i="9"/>
  <c r="C13" i="10"/>
  <c r="B9" i="12"/>
  <c r="B10" i="12" s="1"/>
  <c r="B12" i="12" s="1"/>
  <c r="B19" i="8"/>
  <c r="B8" i="8"/>
  <c r="B9" i="8"/>
  <c r="B16" i="8"/>
  <c r="B5" i="8"/>
  <c r="B18" i="8"/>
  <c r="I30" i="9"/>
  <c r="I28" i="10"/>
  <c r="I23" i="10"/>
  <c r="I20" i="10"/>
  <c r="I19" i="10"/>
  <c r="I22" i="9"/>
  <c r="I21" i="9"/>
  <c r="H15" i="9"/>
  <c r="I14" i="9"/>
  <c r="I10" i="9"/>
  <c r="J21" i="8"/>
  <c r="B7" i="8"/>
  <c r="B10" i="8"/>
  <c r="B11" i="8"/>
  <c r="B11" i="10" l="1"/>
  <c r="B12" i="9"/>
  <c r="B12" i="8"/>
  <c r="B13" i="8" s="1"/>
  <c r="E137" i="3" l="1"/>
  <c r="E243" i="3" s="1"/>
  <c r="E245" i="3" s="1"/>
  <c r="C137" i="3"/>
  <c r="C243" i="3" s="1"/>
  <c r="D18" i="9"/>
  <c r="D16" i="10"/>
  <c r="E11" i="10"/>
  <c r="E12" i="9"/>
  <c r="C87" i="6"/>
  <c r="C443" i="2"/>
  <c r="C11" i="7"/>
  <c r="C122" i="7" s="1"/>
  <c r="J26" i="8"/>
  <c r="I13" i="8"/>
  <c r="C18" i="5"/>
  <c r="C67" i="4"/>
  <c r="C71" i="4"/>
  <c r="C11" i="3"/>
  <c r="C13" i="3" s="1"/>
  <c r="F13" i="8" s="1"/>
  <c r="J8" i="8"/>
  <c r="C127" i="1"/>
  <c r="C123" i="1"/>
  <c r="C14" i="1"/>
  <c r="J10" i="8" s="1"/>
  <c r="C68" i="1"/>
  <c r="C47" i="1"/>
  <c r="J5" i="8" s="1"/>
  <c r="J9" i="8"/>
  <c r="C10" i="1"/>
  <c r="C33" i="1"/>
  <c r="C25" i="1"/>
  <c r="J7" i="8" s="1"/>
  <c r="C20" i="1"/>
  <c r="C52" i="1"/>
  <c r="J11" i="8" l="1"/>
  <c r="E54" i="1"/>
  <c r="E157" i="1" s="1"/>
  <c r="E23" i="9"/>
  <c r="C121" i="7"/>
  <c r="C245" i="3"/>
  <c r="C445" i="2"/>
  <c r="C447" i="2" s="1"/>
  <c r="C449" i="2" s="1"/>
  <c r="C54" i="1"/>
  <c r="C129" i="1"/>
  <c r="C155" i="1" s="1"/>
  <c r="D22" i="8"/>
  <c r="D24" i="8" s="1"/>
  <c r="D28" i="8" s="1"/>
  <c r="C89" i="6"/>
  <c r="C136" i="6" s="1"/>
  <c r="B7" i="9"/>
  <c r="J18" i="8"/>
  <c r="E15" i="9"/>
  <c r="I12" i="9"/>
  <c r="E13" i="10"/>
  <c r="I11" i="10"/>
  <c r="C41" i="5"/>
  <c r="F22" i="8"/>
  <c r="F24" i="8" s="1"/>
  <c r="F28" i="8" s="1"/>
  <c r="B8" i="10"/>
  <c r="I8" i="10" s="1"/>
  <c r="B8" i="9"/>
  <c r="I8" i="9" s="1"/>
  <c r="B10" i="10"/>
  <c r="I10" i="10" s="1"/>
  <c r="B11" i="9"/>
  <c r="I11" i="9" s="1"/>
  <c r="B18" i="9"/>
  <c r="B16" i="10"/>
  <c r="B20" i="9"/>
  <c r="I20" i="9" s="1"/>
  <c r="B18" i="10"/>
  <c r="I18" i="10" s="1"/>
  <c r="B23" i="9"/>
  <c r="B22" i="10"/>
  <c r="J12" i="8"/>
  <c r="B9" i="9"/>
  <c r="I9" i="9" s="1"/>
  <c r="G22" i="10" l="1"/>
  <c r="E18" i="9"/>
  <c r="E26" i="9" s="1"/>
  <c r="H16" i="10"/>
  <c r="H24" i="10" s="1"/>
  <c r="H26" i="10" s="1"/>
  <c r="J20" i="8"/>
  <c r="D21" i="10"/>
  <c r="D24" i="9"/>
  <c r="C157" i="1"/>
  <c r="B24" i="9"/>
  <c r="B21" i="10"/>
  <c r="C18" i="9"/>
  <c r="C26" i="9" s="1"/>
  <c r="C16" i="10"/>
  <c r="C24" i="10" s="1"/>
  <c r="J17" i="8"/>
  <c r="C43" i="5"/>
  <c r="C45" i="5" s="1"/>
  <c r="C22" i="8"/>
  <c r="F18" i="9"/>
  <c r="F16" i="10"/>
  <c r="B7" i="10"/>
  <c r="I7" i="10" s="1"/>
  <c r="B13" i="9"/>
  <c r="I13" i="9" s="1"/>
  <c r="H26" i="9"/>
  <c r="H28" i="9" s="1"/>
  <c r="H32" i="9" s="1"/>
  <c r="G17" i="10"/>
  <c r="G23" i="9"/>
  <c r="J16" i="8"/>
  <c r="B12" i="10"/>
  <c r="I12" i="10" s="1"/>
  <c r="I7" i="9"/>
  <c r="B9" i="10"/>
  <c r="I9" i="10" s="1"/>
  <c r="J13" i="8"/>
  <c r="C13" i="8"/>
  <c r="I22" i="8"/>
  <c r="I24" i="8" s="1"/>
  <c r="I28" i="8" s="1"/>
  <c r="C28" i="9" l="1"/>
  <c r="C32" i="9" s="1"/>
  <c r="C26" i="10"/>
  <c r="K17" i="8"/>
  <c r="L17" i="8" s="1"/>
  <c r="J45" i="4" s="1"/>
  <c r="J48" i="4" s="1"/>
  <c r="E19" i="8" s="1"/>
  <c r="E16" i="10"/>
  <c r="I16" i="10" s="1"/>
  <c r="I24" i="9"/>
  <c r="C45" i="4"/>
  <c r="E45" i="4" s="1"/>
  <c r="I21" i="10"/>
  <c r="I18" i="9"/>
  <c r="H22" i="8"/>
  <c r="H24" i="8" s="1"/>
  <c r="H28" i="8" s="1"/>
  <c r="I17" i="10"/>
  <c r="G19" i="9"/>
  <c r="I19" i="9" s="1"/>
  <c r="E28" i="9"/>
  <c r="E32" i="9" s="1"/>
  <c r="C24" i="8"/>
  <c r="C28" i="8" s="1"/>
  <c r="B5" i="10"/>
  <c r="I5" i="10" s="1"/>
  <c r="I13" i="10" s="1"/>
  <c r="B5" i="9"/>
  <c r="I5" i="9" s="1"/>
  <c r="I15" i="9" s="1"/>
  <c r="H30" i="10"/>
  <c r="B26" i="9"/>
  <c r="B24" i="10"/>
  <c r="C30" i="10" l="1"/>
  <c r="K45" i="4"/>
  <c r="L45" i="4" s="1"/>
  <c r="L48" i="4" s="1"/>
  <c r="L73" i="4" s="1"/>
  <c r="L193" i="4" s="1"/>
  <c r="L195" i="4" s="1"/>
  <c r="J73" i="4"/>
  <c r="J193" i="4" s="1"/>
  <c r="J195" i="4" s="1"/>
  <c r="K48" i="4"/>
  <c r="K73" i="4" s="1"/>
  <c r="K193" i="4" s="1"/>
  <c r="K195" i="4" s="1"/>
  <c r="E48" i="4"/>
  <c r="E73" i="4" s="1"/>
  <c r="G45" i="4"/>
  <c r="C48" i="4"/>
  <c r="G26" i="9"/>
  <c r="G28" i="9" s="1"/>
  <c r="G32" i="9" s="1"/>
  <c r="G24" i="10"/>
  <c r="G26" i="10" s="1"/>
  <c r="G30" i="10" s="1"/>
  <c r="B13" i="10"/>
  <c r="B26" i="10" s="1"/>
  <c r="B30" i="10" s="1"/>
  <c r="B15" i="9"/>
  <c r="B28" i="9" s="1"/>
  <c r="B32" i="9" s="1"/>
  <c r="E24" i="10"/>
  <c r="E26" i="10" s="1"/>
  <c r="E30" i="10" s="1"/>
  <c r="G48" i="4" l="1"/>
  <c r="G73" i="4" s="1"/>
  <c r="G193" i="4" s="1"/>
  <c r="G195" i="4" s="1"/>
  <c r="I45" i="4"/>
  <c r="E193" i="4"/>
  <c r="E195" i="4" s="1"/>
  <c r="C73" i="4"/>
  <c r="C193" i="4" s="1"/>
  <c r="C195" i="4" s="1"/>
  <c r="G22" i="8"/>
  <c r="G24" i="8" s="1"/>
  <c r="G28" i="8" s="1"/>
  <c r="I48" i="4" l="1"/>
  <c r="D23" i="9"/>
  <c r="D26" i="9" s="1"/>
  <c r="D28" i="9" s="1"/>
  <c r="D32" i="9" s="1"/>
  <c r="I73" i="4" l="1"/>
  <c r="I193" i="4" s="1"/>
  <c r="I195" i="4" s="1"/>
  <c r="E22" i="8"/>
  <c r="E24" i="8" s="1"/>
  <c r="E28" i="8" s="1"/>
  <c r="D22" i="10"/>
  <c r="D24" i="10" s="1"/>
  <c r="D26" i="10" s="1"/>
  <c r="D30" i="10" s="1"/>
  <c r="I23" i="9"/>
  <c r="F26" i="9"/>
  <c r="F28" i="9" s="1"/>
  <c r="F32" i="9" s="1"/>
  <c r="F24" i="10"/>
  <c r="I26" i="9" l="1"/>
  <c r="I28" i="9" s="1"/>
  <c r="J19" i="8"/>
  <c r="I22" i="10"/>
  <c r="F26" i="10"/>
  <c r="F30" i="10" s="1"/>
  <c r="I32" i="9" l="1"/>
  <c r="I24" i="10"/>
  <c r="J22" i="8"/>
  <c r="I26" i="10" l="1"/>
  <c r="I35" i="10" s="1"/>
  <c r="M22" i="8"/>
  <c r="J24" i="8"/>
  <c r="C1" i="3"/>
  <c r="C1" i="6"/>
  <c r="C1" i="4"/>
  <c r="C1" i="7"/>
  <c r="B1" i="7"/>
  <c r="C1" i="5"/>
  <c r="J28" i="8"/>
  <c r="B1" i="3"/>
  <c r="B1" i="1"/>
  <c r="B1" i="5"/>
  <c r="C1" i="2"/>
  <c r="B1" i="6"/>
  <c r="C1" i="1"/>
  <c r="B1" i="2" l="1"/>
  <c r="J34" i="8"/>
  <c r="B1" i="4"/>
  <c r="I30" i="1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Sbonelo Ngidi</author>
  </authors>
  <commentList>
    <comment ref="B400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Sbonelo Ngidi:</t>
        </r>
        <r>
          <rPr>
            <sz val="9"/>
            <color indexed="81"/>
            <rFont val="Tahoma"/>
            <family val="2"/>
          </rPr>
          <t xml:space="preserve">
To do a journal to Ward Committee acc vote and create S &amp; T Travelling Claims, Accommodation, Catering and Daily Allowance
</t>
        </r>
      </text>
    </comment>
  </commentList>
</comments>
</file>

<file path=xl/sharedStrings.xml><?xml version="1.0" encoding="utf-8"?>
<sst xmlns="http://schemas.openxmlformats.org/spreadsheetml/2006/main" count="1990" uniqueCount="1529">
  <si>
    <t>ACCOUNT NUMBER</t>
  </si>
  <si>
    <t>ACCOUNT DESCRIPTION</t>
  </si>
  <si>
    <t>2018/2019 ORIGINAL BUDGET</t>
  </si>
  <si>
    <t>YTD EXPENDITURE</t>
  </si>
  <si>
    <t>ADJUSTMENTS</t>
  </si>
  <si>
    <t>2018/2019 ADJUSTED BUDGET</t>
  </si>
  <si>
    <t>2019/2020 OUTER YEAR ONE</t>
  </si>
  <si>
    <t>2020/2021 OUTER YEAR TWO</t>
  </si>
  <si>
    <t>Interest on Outstanding Debtors</t>
  </si>
  <si>
    <t>D0001/IR01410/F0044/X049/R0106/001/FIN</t>
  </si>
  <si>
    <t>Business Licensing</t>
  </si>
  <si>
    <t>D0001/IR01221/F0045/X049/R0106/001/FIN</t>
  </si>
  <si>
    <t>HALL HIRE</t>
  </si>
  <si>
    <t>Rental Income</t>
  </si>
  <si>
    <t>Property Rates:Communal Land:Business and Commercial</t>
  </si>
  <si>
    <t>Property Rates (Communal Land:Other)</t>
  </si>
  <si>
    <t>Property Rates (Farm Properties:Agricultural Purposes)</t>
  </si>
  <si>
    <t>Property Rates (Farm Properties:Residential Properties)</t>
  </si>
  <si>
    <t>Property Rates (Agricultural Property)</t>
  </si>
  <si>
    <t>Property Rates (Industrial Properties)</t>
  </si>
  <si>
    <t>Property Rates (Municipal Properties)</t>
  </si>
  <si>
    <t>Property Rates (Special Rating Area)</t>
  </si>
  <si>
    <t>Property Rates (State-owned Properties)</t>
  </si>
  <si>
    <t>National Revenue Fund (Equitable Share)</t>
  </si>
  <si>
    <t>O0001/IE00672/F0041/X049/R0105/001/FIN</t>
  </si>
  <si>
    <t>Professional Fees (Professional Fees)</t>
  </si>
  <si>
    <t>O0001/IE00835/F0041/X049/R0105/001/FIN</t>
  </si>
  <si>
    <t>Computer Software, Programs and Licences (Consultant fee - Support)</t>
  </si>
  <si>
    <t>Property Rates (Valuation Roll)</t>
  </si>
  <si>
    <t>O0022-1/IE00847/F0041/X049/R0106/001/FIN</t>
  </si>
  <si>
    <t>Professional Fees (Review of Revenue enhancement strategy)</t>
  </si>
  <si>
    <t>Training and Seminars (Minimum Competency)</t>
  </si>
  <si>
    <t>Depreciation, Amortisation &amp; Impairment (Computer)</t>
  </si>
  <si>
    <t>Depreciation, Amortisation &amp; Impairment (Furniture)</t>
  </si>
  <si>
    <t>Depreciation, Amortisation &amp; Impairment (Machinery)</t>
  </si>
  <si>
    <t>Depreciation,Amortisation &amp; Impairment (Transport)</t>
  </si>
  <si>
    <t>Depreciation, Amortization &amp; Impairment (Road)</t>
  </si>
  <si>
    <t>Depreciation, Amortization &amp; Impairment (Community Assets)</t>
  </si>
  <si>
    <t>Depreciation, Amortisation &amp; Impairment (Other Assets)</t>
  </si>
  <si>
    <t>Computer Software, Programs and Licences (Accommodation, travel - millage, flights)</t>
  </si>
  <si>
    <t>Conferences/Training (Registration Fees:Seminars, Conferences, Workshops and Events:National)</t>
  </si>
  <si>
    <t>O0001/IE00060/F0041/X049/R0106/001/FIN</t>
  </si>
  <si>
    <t>Subsistence,Travelling &amp; Accommodation (Travel and Subsistence:Domestic:Accommodation)</t>
  </si>
  <si>
    <t>Subsistence and Travelling Allowance (Daily Allowance)</t>
  </si>
  <si>
    <t>Subsistence and Travelling Allowance (Own Transport)</t>
  </si>
  <si>
    <t>O0001/IE00567/F0041/X049/R0106/001/FIN</t>
  </si>
  <si>
    <t>External Audit fees (Audit Fees - AG)</t>
  </si>
  <si>
    <t>Membership Fees (IMFO)</t>
  </si>
  <si>
    <t>Skills Development Levies (Skills Development Levies)</t>
  </si>
  <si>
    <t>Skills Development Fund (Interns)</t>
  </si>
  <si>
    <t>O0001/IE00759/F0041/X049/R0106/001/FIN</t>
  </si>
  <si>
    <t>Bank Charges (Bank charges)</t>
  </si>
  <si>
    <t>Computer Software, Programs and Licences (Caseware, Asset Management System, Promis Support, Payday and Sage evolution)</t>
  </si>
  <si>
    <t>O0001/IE00804/F0041/X049/R0106/001/FIN</t>
  </si>
  <si>
    <t>Insurance	(Insurance)</t>
  </si>
  <si>
    <t>Employee Related Cost (Salaries and Allowances)</t>
  </si>
  <si>
    <t>Employee Related Cost (Bonus)</t>
  </si>
  <si>
    <t>Employee Related Cost (Bargaining Council)</t>
  </si>
  <si>
    <t>Employee Related Cost (Medical Aid)</t>
  </si>
  <si>
    <t>Employee Related Cost (UIF)</t>
  </si>
  <si>
    <t>Employee Related Cost (Housing Subsidy)</t>
  </si>
  <si>
    <t>Employee related cost (Leave Pay)</t>
  </si>
  <si>
    <t>Employee Related Cost (Overtime)</t>
  </si>
  <si>
    <t>O0001/IE01321/F0041/X049/R0106/001/FIN</t>
  </si>
  <si>
    <t>Conditional Grants (Conditional Grants)</t>
  </si>
  <si>
    <t xml:space="preserve">Interest, Dividend and Rent on Land </t>
  </si>
  <si>
    <t>Total</t>
  </si>
  <si>
    <t xml:space="preserve">Licences or Permits </t>
  </si>
  <si>
    <t xml:space="preserve">Operational Revenue </t>
  </si>
  <si>
    <t xml:space="preserve">Rental from Fixed Assets </t>
  </si>
  <si>
    <t xml:space="preserve">Sales of Goods and Rendering of Services </t>
  </si>
  <si>
    <t xml:space="preserve">Property Rates </t>
  </si>
  <si>
    <t>Transfers and Subsidies</t>
  </si>
  <si>
    <t>REVENUE</t>
  </si>
  <si>
    <t>EXPENDITURE</t>
  </si>
  <si>
    <t>Depreciation and Amortisation</t>
  </si>
  <si>
    <t xml:space="preserve">Operational Cost </t>
  </si>
  <si>
    <t xml:space="preserve">Employee Related Cost </t>
  </si>
  <si>
    <t>TOTAL</t>
  </si>
  <si>
    <t>TOTAL REVENUE</t>
  </si>
  <si>
    <t>TOTAL EXPENDITURE</t>
  </si>
  <si>
    <t xml:space="preserve">Transfers and Subsidies </t>
  </si>
  <si>
    <t>IDP Programme (Sound system)</t>
  </si>
  <si>
    <t>IDP Programme (Catering)</t>
  </si>
  <si>
    <t>IDP Programme (Transport)</t>
  </si>
  <si>
    <t>O1358-3/IE00628/F0041/X045/R0106/001/MMO</t>
  </si>
  <si>
    <t>Ward Committes (Sound System)</t>
  </si>
  <si>
    <t>O1358-3/IE00677/F0041/X045/R0106/001/MMO</t>
  </si>
  <si>
    <t>Ward Committes (Catering )</t>
  </si>
  <si>
    <t>O1358-3/IE00703/F0041/X045/R0106/001/MMO</t>
  </si>
  <si>
    <t>Ward Committes (Transportation)</t>
  </si>
  <si>
    <t>O1358-3/IE00840/F0041/X045/R0106/001/MMO</t>
  </si>
  <si>
    <t>Ward Committes (Service Provider - Contracted Services( Training)</t>
  </si>
  <si>
    <t>O0001/IE00060/F0041/X045/R0105/001/MMO</t>
  </si>
  <si>
    <t>Subsistence,Travelling &amp; Accomodation (Strategic Session)  (Accommodation)</t>
  </si>
  <si>
    <t>O0001/IE00061/F0041/X045/R0105/001/MMO</t>
  </si>
  <si>
    <t>O0001/IE00062/F0041/X045/R0106/001/MMO</t>
  </si>
  <si>
    <t>Subsistence,Travelling &amp; Accommodation (Food and Beverage (Served)</t>
  </si>
  <si>
    <t>O0001/IE00063/F0041/X045/R0105/001/MMO</t>
  </si>
  <si>
    <t>Subsistence,Travelling &amp; Accomodation (Incidental costs)</t>
  </si>
  <si>
    <t>O0001/IE00143/F0041/X045/R0105/001/MMO</t>
  </si>
  <si>
    <t>Subsistence,Travelling &amp; Accomodation (Car hire- without operator)</t>
  </si>
  <si>
    <t>O0001/IE00144/F0041/X045/R0105/001/MMO</t>
  </si>
  <si>
    <t>O0001/IE00586/F0041/X045/R0105/001/MMO</t>
  </si>
  <si>
    <t>Ward Committes (Payment of Ward Committes)</t>
  </si>
  <si>
    <t>O0001/IE00595/F0041/X045/R0105/001/MMO</t>
  </si>
  <si>
    <t>Skills Development Fund</t>
  </si>
  <si>
    <t>O0001/IE01581/F0041/X045/R0105/001/MMO</t>
  </si>
  <si>
    <t>Subsistence,Travelling &amp; Accomodation (Flights)</t>
  </si>
  <si>
    <t>O0001/IE01583/F0041/X045/R0105/001/MMO</t>
  </si>
  <si>
    <t>Subsistence,Travelling &amp; Accomodation (Car hire- with operator (shuttle)</t>
  </si>
  <si>
    <t>IDP Programme (Tent)</t>
  </si>
  <si>
    <t>O1358-3/IE00060/F0041/X045/R0106/001/MMO</t>
  </si>
  <si>
    <t>Ward Committes (Accommodation)</t>
  </si>
  <si>
    <t>O1358-3/IE00604/F0041/X045/R0106/001/MMO</t>
  </si>
  <si>
    <t>Ward Committes (Uniform(T-shirts)</t>
  </si>
  <si>
    <t>O0001/IE00036/F0041/X045/R0105/001/MMO</t>
  </si>
  <si>
    <t>O0001/IE00038/F0041/X045/R0105/001/MMO</t>
  </si>
  <si>
    <t>O0001/IE00040/F0041/X045/R0105/001/MMO</t>
  </si>
  <si>
    <t>O0001/IE00043/F0041/X045/R0105/001/MMO</t>
  </si>
  <si>
    <t>O0001/IE00044/F0041/X045/R0105/001/MMO</t>
  </si>
  <si>
    <t>Employee Related Cost (Provident Fund and Pension - RA)</t>
  </si>
  <si>
    <t>O0001/IE00045/F0041/X045/R0105/001/MMO</t>
  </si>
  <si>
    <t>O0001/IE00126/F0041/X045/R0105/001/MMO</t>
  </si>
  <si>
    <t>Employee Related Cost (Vehicle Allowance)</t>
  </si>
  <si>
    <t>O0001/IE01521/F0041/X045/R0105/001/MMO</t>
  </si>
  <si>
    <t>O0001/IE01530/F0041/X045/R0105/001/MMO</t>
  </si>
  <si>
    <t>O0001/IE01537/F0041/X045/R0105/001/MMO</t>
  </si>
  <si>
    <t>O0001/IE03969/F0041/X045/R0105/001/MMO</t>
  </si>
  <si>
    <t>Employee Related Cost Municipal Manager (Salaries and Allowances)</t>
  </si>
  <si>
    <t>O0001/IE06107/F0041/X045/R0105/001/MMO</t>
  </si>
  <si>
    <t>Employee Related Cost Municipal Manager (Performance Bonus)</t>
  </si>
  <si>
    <t>O0001/IE06266/F0041/X045/R0105/001/MMO</t>
  </si>
  <si>
    <t>Employee Related Cost Municipal Manager (UIF)</t>
  </si>
  <si>
    <t>O0001/IE06910/F0041/X045/R0105/001/MMO</t>
  </si>
  <si>
    <t>Employee Related Cost Municipal Manager (Vehicle Allowance)</t>
  </si>
  <si>
    <t xml:space="preserve">Totals  Operational Cost </t>
  </si>
  <si>
    <t xml:space="preserve">Totals Employee Related Cost </t>
  </si>
  <si>
    <t>O0022-2/IE00847/F0041/X006/R0106/001/COMM</t>
  </si>
  <si>
    <t>Waste Management  (Waste Collection and Disposal Transportation to Landfill Site )</t>
  </si>
  <si>
    <t>Social Cohesion/Dress a Child (Catering,)</t>
  </si>
  <si>
    <t>Social Cohesion/Dress a Child (Transport)</t>
  </si>
  <si>
    <t>Social Cohesion/Dress a Child (Sound System and Stage)</t>
  </si>
  <si>
    <t>Social Cohesion/Disability (Sound System and Stage)</t>
  </si>
  <si>
    <t>Social Cohesion/Disability (Catering,)</t>
  </si>
  <si>
    <t>Social Cohesion/Disability (facilitator)</t>
  </si>
  <si>
    <t>Social Cohesion/Disability(Transport)</t>
  </si>
  <si>
    <t>Catering (Catering for Reading)</t>
  </si>
  <si>
    <t>O1265-3/IE01317/F0041/X006/R0106/001/COMM</t>
  </si>
  <si>
    <t>Social Cohesion/Ingoma	(Sound System and Stage)</t>
  </si>
  <si>
    <t>Social Cohesion/Ingoma	(Catering,)</t>
  </si>
  <si>
    <t>Social Cohesion/Ingoma	(Transport)</t>
  </si>
  <si>
    <t>O0001/IE00060/F0041/X006/R0105/001/COMM</t>
  </si>
  <si>
    <t>O0001/IE00143/F0041/X006/R0105/001/COMM</t>
  </si>
  <si>
    <t>Accomodation and Subsistence (Transport without operator )</t>
  </si>
  <si>
    <t>O0001/IE00144/F0041/X006/R0105/001/COMM</t>
  </si>
  <si>
    <t>O0001/IE01581/F0041/X006/R0105/001/COMM</t>
  </si>
  <si>
    <t>Accomodation and Subsistence (Air Transport)</t>
  </si>
  <si>
    <t>Social Cohesion/Dress a Child (Tent )</t>
  </si>
  <si>
    <t>Social Cohesion/Orphans and Farmworkers	(Tent )</t>
  </si>
  <si>
    <t>O1265-1/IE00604/F0041/X006/R0106/001/COMM</t>
  </si>
  <si>
    <t>Social Cohesion/Ingoma	(Tent )</t>
  </si>
  <si>
    <t>Youth Development (Drivers Licences)</t>
  </si>
  <si>
    <t>O0001/IE00036/F0041/X006/R0105/001/COMM</t>
  </si>
  <si>
    <t>Employee Related Cost Cyber Cadet Library Grant (Salaries and Allowances)</t>
  </si>
  <si>
    <t>O0001/IE00038/F0041/X006/R0105/001/COMM</t>
  </si>
  <si>
    <t>Employee Related Cost (BONUS )</t>
  </si>
  <si>
    <t>Employee Related Cost Cyber Cadet Library Grant (Bonus )</t>
  </si>
  <si>
    <t>O0001/IE00040/F0041/X006/R0105/001/COMM</t>
  </si>
  <si>
    <t>Employee Related Cost (Bargaining Council (Library Grant)</t>
  </si>
  <si>
    <t>O0001/IE00043/F0041/X006/R0105/001/COMM</t>
  </si>
  <si>
    <t>Employee Related Cost (Medical Aid )</t>
  </si>
  <si>
    <t>Employee Related Cost Cyber Cadet Library Grant (Medical Aid )</t>
  </si>
  <si>
    <t>O0001/IE00044/F0041/X006/R0105/001/COMM</t>
  </si>
  <si>
    <t>Employee Related Cost ( Provident Fund and Pension - RA )</t>
  </si>
  <si>
    <t>Employee Related Cost Cyber Cadet Library Grant (Provident Fund and Pension)</t>
  </si>
  <si>
    <t>O0001/IE00045/F0041/X006/R0105/001/COMM</t>
  </si>
  <si>
    <t>Employee Related Cost (UIF )</t>
  </si>
  <si>
    <t>Employee Related Cost Cyber Cadet Library Grant ( UIF )</t>
  </si>
  <si>
    <t>O0001/IE00126/F0041/X006/R0105/001/COMM</t>
  </si>
  <si>
    <t>Employee Related Cost ( Vehicle Allowance )</t>
  </si>
  <si>
    <t>Skills Development Fund (Library Grant)</t>
  </si>
  <si>
    <t>O0001/IE01521/F0041/X006/R0105/001/COMM</t>
  </si>
  <si>
    <t>Employee Related Cost ( Housing Subsidy )</t>
  </si>
  <si>
    <t>O0001/IE01521/F9283/X024/R0105/001/COMM</t>
  </si>
  <si>
    <t>Employee Related Cost Cyber Cadet Library Grant (Housing Subsidy)</t>
  </si>
  <si>
    <t>O0001/IE01530/F0041/X006/R0105/001/COMM</t>
  </si>
  <si>
    <t>Employees Related Cost (Leave Pay)</t>
  </si>
  <si>
    <t>Employee Related Cost (Leave Pay Library)</t>
  </si>
  <si>
    <t>O0001/IE03969/F0041/X006/R0105/001/COMM</t>
  </si>
  <si>
    <t>Employee Related Cost (Overtime )</t>
  </si>
  <si>
    <t>Employee Related Cost Cyber Cadet Library Grant (Overtime)</t>
  </si>
  <si>
    <t>O0001/IE06084/F0041/X006/R0105/001/COMM</t>
  </si>
  <si>
    <t>Employee Related Cost Director Community Services (Salaries and Allowances )</t>
  </si>
  <si>
    <t>O0001/IE06206/F0041/X006/R0105/001/COMM</t>
  </si>
  <si>
    <t>Municipal Running Cost/Medical/Equitable Share/Community Halls and Faci/Administrative or Head O/Default/Community Services</t>
  </si>
  <si>
    <t>O0001/IE06254/F0041/X006/R0105/001/COMM</t>
  </si>
  <si>
    <t>Employee Related Cost Director Community Services  (UIF)</t>
  </si>
  <si>
    <t>O0001/IE06924/F0041/X006/R0105/001/COMM</t>
  </si>
  <si>
    <t>Employee Related Cost Director Community Services (Vehicle  Allowances)</t>
  </si>
  <si>
    <t xml:space="preserve">Total Transfers and Subsidies </t>
  </si>
  <si>
    <t>Total Employee Related Cost</t>
  </si>
  <si>
    <t>O0001/IE00008/F0041/X046/R0106/001/CORP</t>
  </si>
  <si>
    <t>Legal/ Consulting Fees (Legal/ Consulting Fees)</t>
  </si>
  <si>
    <t>Study Assistants (External)</t>
  </si>
  <si>
    <t>Employee wellness	(Training and Awareness Campaigns )</t>
  </si>
  <si>
    <t>Employee wellness	(Transport)</t>
  </si>
  <si>
    <t>Employee wellness (Catering Services)</t>
  </si>
  <si>
    <t>O0001/IE00683/F0041/X046/R0106/001/CORP</t>
  </si>
  <si>
    <t>Cleaning Services (Cleaning and Hygiene: SP)</t>
  </si>
  <si>
    <t>OHS (Catering)</t>
  </si>
  <si>
    <t>Training and Seminars  (Transport)</t>
  </si>
  <si>
    <t>Training and Seminars (Catering )</t>
  </si>
  <si>
    <t>Training and Seminars (Service Provider)</t>
  </si>
  <si>
    <t>O1565-2/IE00651/F0041/X046/R0106/001/CORP</t>
  </si>
  <si>
    <t>Repairs and Maintenance: (Vehicles)</t>
  </si>
  <si>
    <t>O3523-1/IE00649/F0041/X046/R0106/001/CORP</t>
  </si>
  <si>
    <t>Repairs and Maintenance: (Buildings)</t>
  </si>
  <si>
    <t>O0001/IE00545/F0041/X046/R0106/001/CORP</t>
  </si>
  <si>
    <t>Rent/ Lease (Rent/ Lease)</t>
  </si>
  <si>
    <t>OHS (Promotional material)</t>
  </si>
  <si>
    <t>Subsistence &amp; Travelling Allowance (Daily Allowance)</t>
  </si>
  <si>
    <t>Study Assistant (Internal )</t>
  </si>
  <si>
    <t>Membership Fees (Membership Fees)</t>
  </si>
  <si>
    <t>O0001/IE00604/F0041/X046/R0106/001/CORP</t>
  </si>
  <si>
    <t>Uniforms/ PPE (Uniforms/ PPE)</t>
  </si>
  <si>
    <t>Vehicle Tracking Device (Tracking device and Cameras)</t>
  </si>
  <si>
    <t>O0001/IE00607/F0041/X046/R0106/001/CORP</t>
  </si>
  <si>
    <t>Fuel and Oil (Fuel and Oil)</t>
  </si>
  <si>
    <t>O0001/IE00771/F0041/X046/R0105/001/CORP</t>
  </si>
  <si>
    <t>Postal Services (Postal Services)</t>
  </si>
  <si>
    <t>O0001/IE00778/F0041/X046/R0106/001/CORP</t>
  </si>
  <si>
    <t>Telephones (Telephones)</t>
  </si>
  <si>
    <t>O0001/IE00807/F0041/X046/R0106/001/CORP</t>
  </si>
  <si>
    <t>Subsistence,Travelling &amp; Accommodation (Flights)</t>
  </si>
  <si>
    <t>OHS (Accommodation)</t>
  </si>
  <si>
    <t>Internet Access (Internet Access )</t>
  </si>
  <si>
    <t>Training and Seminars (Accommodation)</t>
  </si>
  <si>
    <t>Employee wellness (Promotional Items)</t>
  </si>
  <si>
    <t>Repairs and Maintenance: (Computers)</t>
  </si>
  <si>
    <t>O0001/IE00036/F0041/X051/R0105/001/CORP</t>
  </si>
  <si>
    <t>Employee Related Costs (Salaries and Allowances)</t>
  </si>
  <si>
    <t>O0001/IE00038/F0041/X051/R0105/001/CORP</t>
  </si>
  <si>
    <t>O0001/IE00040/F0041/X051/R0105/001/CORP</t>
  </si>
  <si>
    <t>O0001/IE00043/F0041/X051/R0105/001/CORP</t>
  </si>
  <si>
    <t>Employee Related Cost-	Medical Aid</t>
  </si>
  <si>
    <t>O0001/IE00044/F0041/X051/R0105/001/CORP</t>
  </si>
  <si>
    <t>O0001/IE00045/F0041/X051/R0105/001/CORP</t>
  </si>
  <si>
    <t>O0001/IE00126/F0041/X051/R0105/001/CORP</t>
  </si>
  <si>
    <t>O0001/IE01521/F0041/X051/R0105/001/CORP</t>
  </si>
  <si>
    <t>O0001/IE03969/F0041/X051/R0105/001/CORP</t>
  </si>
  <si>
    <t>O0001/IE06075/F0041/X051/R0105/001/CORP</t>
  </si>
  <si>
    <t>Employee related cost Director Corporate  Services (Salaries and Allowances)</t>
  </si>
  <si>
    <t>O0001/IE06262/F0041/X051/R0105/001/CORP</t>
  </si>
  <si>
    <t>Employee related cost Director Corporate  Services (UIF)</t>
  </si>
  <si>
    <t>O0001/IE06919/F0041/X051/R0105/001/CORP</t>
  </si>
  <si>
    <t>Employee related cost Director Corporate  Services (Vehicle Allowance)</t>
  </si>
  <si>
    <t xml:space="preserve">Total Employee Related Cost </t>
  </si>
  <si>
    <t>O0001/IE00059/F0041/X044/R0105/001/EXEC</t>
  </si>
  <si>
    <t>O0001/IE00060/F0041/X044/R0105/001/EXEC</t>
  </si>
  <si>
    <t>O0001/IE00143/F0041/X044/R0105/001/EXEC</t>
  </si>
  <si>
    <t>Subsistence,Travelling &amp; Accomodation (Travel and Subsistence:Domestic:Transport without Operator:Car Rental)</t>
  </si>
  <si>
    <t>O0001/IE00144/F0041/X044/R0105/001/EXEC</t>
  </si>
  <si>
    <t>O0001/IE00595/F0041/X044/R0105/001/EXEC</t>
  </si>
  <si>
    <t>O0001/IE01581/F0041/X044/R0105/001/EXEC</t>
  </si>
  <si>
    <t>Subsistence,Travelling &amp; Accomodation (Travel and Subsistence:Domestic:Transport with Operator:Public Transport:Air Transport)</t>
  </si>
  <si>
    <t>O0001/IE01583/F0041/X044/R0105/001/EXEC</t>
  </si>
  <si>
    <t>Subsistence,Travelling &amp; Accomodation (Travel and Subsistence:Domestic:Transport with Operator:Public Transport:Road Transport)</t>
  </si>
  <si>
    <t>O0001/IE00073/F0041/X044/R0105/001/EXEC</t>
  </si>
  <si>
    <t>Remuneration for councillors	(Speaker:Social Contributions:Medial Aid Benefits)</t>
  </si>
  <si>
    <t>O0001/IE00816/F0041/X044/R0105/001/EXEC</t>
  </si>
  <si>
    <t>Remuneration for councillors	(Speaker:Allowances and Service Related Benefits:Basic Salary)</t>
  </si>
  <si>
    <t>O0001/IE00817/F0041/X044/R0105/001/EXEC</t>
  </si>
  <si>
    <t>Remuneration for councillors (Speaker:Allowances and Service Related Benefits:Cell phone Allowance)</t>
  </si>
  <si>
    <t>Municipal Running Cost/Motor Vehicle Allowance/Equitable Share/Mayor and Council/Administrative or Head O/Default/Executive &amp; Council</t>
  </si>
  <si>
    <t>Municipal Running Cost/Medial Aid Benefits/Equitable Share/Mayor and Council/Administrative or Head O/Default/Executive &amp; Council</t>
  </si>
  <si>
    <t>O0001/IE07194/F0041/X044/R0105/001/EXEC</t>
  </si>
  <si>
    <t>Remuneration for councillors	(Deputy Executive Mayor:Allowances and Service Related Benefits:Basic Salary)</t>
  </si>
  <si>
    <t>O0001/IE07195/F0041/X044/R0105/001/EXEC</t>
  </si>
  <si>
    <t>Remuneration for councillors	(Deputy Executive Mayor:Allowances and Service Related Benefits:Cell phone Allowance)</t>
  </si>
  <si>
    <t>O0001/IE07204/F0041/X044/R0105/001/EXEC</t>
  </si>
  <si>
    <t>Remuneration for councillors	(Deputy Executive Mayor:Social Contributions:Medial Aid Benefits)</t>
  </si>
  <si>
    <t>O0001/IE07205/F0041/X044/R0105/001/EXEC</t>
  </si>
  <si>
    <t>Remuneration for councillors (Deputy Executive Mayor:Social Contributions:Pension Fund Contributions)</t>
  </si>
  <si>
    <t>O0001/IE07206/F0041/X044/R0105/001/EXEC</t>
  </si>
  <si>
    <t>Remuneration for councillors	(Executive Committee:Allowances and Service Related Benefits:Basic Salary)</t>
  </si>
  <si>
    <t>O0001/IE07207/F0041/X044/R0105/001/EXEC</t>
  </si>
  <si>
    <t>Remuneration for councillors (Executive Committee:Allowances and Service Related Benefits:Cell phone Allowance)</t>
  </si>
  <si>
    <t>O0001/IE07216/F0041/X044/R0105/001/EXEC</t>
  </si>
  <si>
    <t>O0001/IE07217/F0041/X044/R0105/001/EXEC</t>
  </si>
  <si>
    <t>Remuneration for councillors	(Executive Committee:Social Contributions:Pension Fund Contributions)</t>
  </si>
  <si>
    <t>O0001/IE07218/F0041/X044/R0105/001/EXEC</t>
  </si>
  <si>
    <t>Remuneration for councillors	(Executive Mayor:Allowances and Service Related Benefits:Basic Salary)</t>
  </si>
  <si>
    <t>O0001/IE07219/F0041/X044/R0105/001/EXEC</t>
  </si>
  <si>
    <t>Remuneration for councillors	(Executive Mayor:Allowances and Service Related Benefits:Cell phone Allowance)</t>
  </si>
  <si>
    <t>O0001/IE07228/F0041/X044/R0105/001/EXEC</t>
  </si>
  <si>
    <t>Remuneration for councillors	(Executive Mayor:Social Contributions:Medial Aid Benefits)</t>
  </si>
  <si>
    <t>O0001/IE07230/F0041/X044/R0105/001/EXEC</t>
  </si>
  <si>
    <t>Remuneration for councillors	(Total for All Other Councillors:Allowances and Service Related Benefits:Basic Salary)</t>
  </si>
  <si>
    <t>O0001/IE07231/F0041/X044/R0105/001/EXEC</t>
  </si>
  <si>
    <t>Remuneration for councillors	(Total for All Other Councillors:Allowances and Service Related Benefits:Cell phone Allowance)</t>
  </si>
  <si>
    <t>O0001/IE07235/F0041/X044/R0105/001/EXEC</t>
  </si>
  <si>
    <t>O0001/IE07238/F0041/X044/R0105/001/EXEC</t>
  </si>
  <si>
    <t>Employee related costs: council (Total for All Other Councillors:Allowances and Service Related Benefits:Travelling Allowance)</t>
  </si>
  <si>
    <t>O0001/IE07240/F0041/X044/R0105/001/EXEC</t>
  </si>
  <si>
    <t>Employee related costs: council (Total for All Other Councillors:Social Contributions:Medial Aid Benefits)</t>
  </si>
  <si>
    <t>O0001/IE07241/F0041/X044/R0105/001/EXEC</t>
  </si>
  <si>
    <t>Employee related costs: council (Total for All Other Councillors:Social Contributions:Pension Fund Contributions)</t>
  </si>
  <si>
    <t xml:space="preserve">Remuneration of Councillors </t>
  </si>
  <si>
    <t xml:space="preserve">Total Remuneration of Councillors </t>
  </si>
  <si>
    <t>O1217-1/IE00642/F0041/X098/R0106/001/EDP</t>
  </si>
  <si>
    <t>O1217-3/IE00667/F0041/X098/R0106/001/EDP</t>
  </si>
  <si>
    <t>LED 	(Sound system)</t>
  </si>
  <si>
    <t>O1217-3/IE00677/F0041/X098/R0106/001/EDP</t>
  </si>
  <si>
    <t>LED (Catering Services)</t>
  </si>
  <si>
    <t>O1217-3/IE00703/F0041/X098/R0106/001/EDP</t>
  </si>
  <si>
    <t>LED 	(Transport)</t>
  </si>
  <si>
    <t>SMME Development (Catering)</t>
  </si>
  <si>
    <t>O1249-2/IE00697/F0041/X098/R0106/001/EDP</t>
  </si>
  <si>
    <t>SMME Development (Support )</t>
  </si>
  <si>
    <t>O1249-3/IE00672/F0041/X098/R0106/001/EDP</t>
  </si>
  <si>
    <t>Cooperatives Development  (Identification and Database),(Gaps Identification)</t>
  </si>
  <si>
    <t>O1249-4/IE00677/F0041/X098/R0106/001/EDP</t>
  </si>
  <si>
    <t>Cooperatives Development  (Catering)</t>
  </si>
  <si>
    <t>O1303-1/IE00022/F0041/X098/R0106/001/EDP</t>
  </si>
  <si>
    <t>Proffesional Fees  (LED Strategy) (Tourism Strategy) (Pilgrimage Packaging)</t>
  </si>
  <si>
    <t>O1305-3/IE00671/F0041/X098/R0106/001/EDP</t>
  </si>
  <si>
    <t>SMME Development (Transport)</t>
  </si>
  <si>
    <t>O1305-4/IE00667/F0041/X098/R0106/001/EDP</t>
  </si>
  <si>
    <t>SMME Development (sound system)</t>
  </si>
  <si>
    <t>Tourisim development	(Catering)</t>
  </si>
  <si>
    <t>O1354-2/IE00667/F0041/X098/R0106/001/EDP</t>
  </si>
  <si>
    <t>Tourisim development (Sound system)</t>
  </si>
  <si>
    <t>O1354-2/IE00671/F0041/X098/R0106/001/EDP</t>
  </si>
  <si>
    <t>Tourisim development	(Transport)</t>
  </si>
  <si>
    <t>O1217-2/IE00534/F0041/X098/R0106/001/EDP</t>
  </si>
  <si>
    <t>O0001/IE00595/F0041/X098/R0105/001/EDP</t>
  </si>
  <si>
    <t>O1354-2/IE00594/F0041/X098/R0106/001/EDP</t>
  </si>
  <si>
    <t>Tourisim development (exhibition stand(tourism indaba)</t>
  </si>
  <si>
    <t>O1354-2/IE00754/F0041/X098/R0106/001/EDP</t>
  </si>
  <si>
    <t>Tourisim development	(Tourism awareness (gifts/ promotional items)</t>
  </si>
  <si>
    <t>O0001/IE00036/F0041/X098/R0105/001/EDP</t>
  </si>
  <si>
    <t>O0001/IE00038/F0041/X098/R0105/001/EDP</t>
  </si>
  <si>
    <t>O0001/IE00040/F0041/X098/R0105/001/EDP</t>
  </si>
  <si>
    <t>O0001/IE00043/F0041/X098/R0105/001/EDP</t>
  </si>
  <si>
    <t>O0001/IE00044/F0041/X098/R0105/001/EDP</t>
  </si>
  <si>
    <t>O0001/IE00045/F0041/X098/R0105/001/EDP</t>
  </si>
  <si>
    <t>Employee Related Cost	(UIF)</t>
  </si>
  <si>
    <t>O0001/IE00126/F0041/X098/R0105/001/EDP</t>
  </si>
  <si>
    <t>O0001/IE01521/F0041/X098/R0105/001/EDP</t>
  </si>
  <si>
    <t>Employee Related Cost	(Housing Subsidy)</t>
  </si>
  <si>
    <t>O0001/IE03969/F0041/X098/R0105/001/EDP</t>
  </si>
  <si>
    <t>Employee Related Cost	(Overtime)</t>
  </si>
  <si>
    <t>O0001/IE06076/F0041/X098/R0105/001/EDP</t>
  </si>
  <si>
    <t>Employee Related Cost Director EDP (Salaries and Allowances)</t>
  </si>
  <si>
    <t>O0001/IE06203/F0041/X098/R0105/001/EDP</t>
  </si>
  <si>
    <t>O0001/IE06260/F0041/X098/R0105/001/EDP</t>
  </si>
  <si>
    <t>Employee Related Cost Director EDP (UIF)</t>
  </si>
  <si>
    <t>O0001/IE06912/F0041/X098/R0105/001/EDP</t>
  </si>
  <si>
    <t>Employee Related Cost Director EDP (Vehicle Allowance)</t>
  </si>
  <si>
    <t>National Government (Municipal Infrastructure Grant)</t>
  </si>
  <si>
    <t>National Government (Expanded Public Works Programme Integrated Grant)</t>
  </si>
  <si>
    <t>Professional Fees  (New Municipal Offices: Design,Eletrification Licence study ,Comprehensive infrastructure Plan,Technical Assessment for electrification usage on Municipal Facilities/Assets and Ward 11 Electrification investigation on malfunctioning and</t>
  </si>
  <si>
    <t>O0968-1/IE00649/F0041/X116/R0106/001/TECH</t>
  </si>
  <si>
    <t>Repairs and Maintenance (Vehicles)</t>
  </si>
  <si>
    <t>O0001/IE00144/F0041/X116/R0105/001/TECH</t>
  </si>
  <si>
    <t>O0001/IE00584/F0041/X116/R0105/001/TECH</t>
  </si>
  <si>
    <t>O0001/IE00604/F0041/X116/R0105/001/TECH</t>
  </si>
  <si>
    <t>O0001/IE01581/F0041/X116/R0105/001/TECH</t>
  </si>
  <si>
    <t>Municipal Running Cost/Air Transport/Equitable Share/Roads/Administrative or Head O/Default/Technical Services</t>
  </si>
  <si>
    <t>Conferences (Workshop and  seminer)</t>
  </si>
  <si>
    <t>O0001/IE00036/F0041/X116/R0105/001/TECH</t>
  </si>
  <si>
    <t>O0001/IE00036/F0041/X137/R0105/001/TECH</t>
  </si>
  <si>
    <t>Thumamina salaries EPWP (Salaries and Allowances)</t>
  </si>
  <si>
    <t>EPWP staff (Salaries and Allowances)</t>
  </si>
  <si>
    <t>O0001/IE00038/F0041/X116/R0105/001/TECH</t>
  </si>
  <si>
    <t>O0001/IE00040/F0041/X116/R0105/001/TECH</t>
  </si>
  <si>
    <t>O0001/IE00043/F0041/X116/R0105/001/TECH</t>
  </si>
  <si>
    <t>O0001/IE00044/F0041/X116/R0105/001/TECH</t>
  </si>
  <si>
    <t>O0001/IE00045/F0041/X116/R0105/001/TECH</t>
  </si>
  <si>
    <t>O0001/IE00045/F0041/X137/R0105/001/TECH</t>
  </si>
  <si>
    <t>Thumamina salaries EPWP (UIF)</t>
  </si>
  <si>
    <t>EPWP staff (UIF)</t>
  </si>
  <si>
    <t>O0001/IE00126/F0041/X116/R0105/001/TECH</t>
  </si>
  <si>
    <t>O0001/IE01521/F0041/X116/R0105/001/TECH</t>
  </si>
  <si>
    <t>O0001/IE01530/F0041/X116/R0105/001/TECH</t>
  </si>
  <si>
    <t>O0001/IE03969/F0041/X116/R0105/001/TECH</t>
  </si>
  <si>
    <t>O0001/IE06079/F0041/X116/R0105/001/TECH</t>
  </si>
  <si>
    <t>Employee Related cost Director Technical Services (Salaries and Allowances)</t>
  </si>
  <si>
    <t>O0001/IE06194/F0041/X116/R0105/001/TECH</t>
  </si>
  <si>
    <t>Municipal Running Cost/Medical/Equitable Share/Roads/Administrative or Head O/Default/Technical Services</t>
  </si>
  <si>
    <t>O0001/IE06253/F0041/X116/R0105/001/TECH</t>
  </si>
  <si>
    <t>Employee Related Cost Director Technical Services (UIF)</t>
  </si>
  <si>
    <t>O0001/IE06913/F0041/X116/R0105/001/TECH</t>
  </si>
  <si>
    <t>Employee Related Cost Director Technical Services (Vehicle Allowance)</t>
  </si>
  <si>
    <t>Upgrade of electrical Infrastructure project in Applesbosch Ward 6</t>
  </si>
  <si>
    <t xml:space="preserve"> Employee Related Cost </t>
  </si>
  <si>
    <t xml:space="preserve">Skills Development Levies </t>
  </si>
  <si>
    <t>FINANCE</t>
  </si>
  <si>
    <t>MUNICIPAL MANAGER</t>
  </si>
  <si>
    <t>CORPORATE SERVICES</t>
  </si>
  <si>
    <t>COMMUNITY SERVICES</t>
  </si>
  <si>
    <t>EDP</t>
  </si>
  <si>
    <t>EXECUTIVE COUNCIL</t>
  </si>
  <si>
    <t>TECHNICAL SERVICES</t>
  </si>
  <si>
    <t>DESCRIPTION</t>
  </si>
  <si>
    <t>Rental of facilities and equipment</t>
  </si>
  <si>
    <t>Property rates</t>
  </si>
  <si>
    <t>Interest earned - external investments</t>
  </si>
  <si>
    <t>Interest earned - outstanding debtors</t>
  </si>
  <si>
    <t>Fines, penalties and forfeits</t>
  </si>
  <si>
    <t>Licences and permits</t>
  </si>
  <si>
    <t>Transfers and subsidies</t>
  </si>
  <si>
    <t>Other revenue</t>
  </si>
  <si>
    <t>Gains on disposal of PPE</t>
  </si>
  <si>
    <t>Expenditure By Type</t>
  </si>
  <si>
    <t>Employee related costs</t>
  </si>
  <si>
    <t>Remuneration of councillors</t>
  </si>
  <si>
    <t>Depreciation &amp; asset impairment</t>
  </si>
  <si>
    <t>Finance charges</t>
  </si>
  <si>
    <t>Bulk purchases</t>
  </si>
  <si>
    <t>Other expenditure</t>
  </si>
  <si>
    <t>Loss on disposal of PPE</t>
  </si>
  <si>
    <t>Surplus/(Deficit) for the year</t>
  </si>
  <si>
    <t xml:space="preserve">Transfers and subsidies - capital </t>
  </si>
  <si>
    <t>Revenue By Source</t>
  </si>
  <si>
    <t>EPWP Fuel</t>
  </si>
  <si>
    <t>O2817-1/IE00651/F0041/X116/R3711/001/TECH</t>
  </si>
  <si>
    <t>Subscription Legal</t>
  </si>
  <si>
    <t xml:space="preserve">Shared Fraud hotline </t>
  </si>
  <si>
    <t>Grant from Ilembe</t>
  </si>
  <si>
    <t>Leave Pay</t>
  </si>
  <si>
    <t>Indigent</t>
  </si>
  <si>
    <t>Electrification Projects</t>
  </si>
  <si>
    <t>Proffessional Fees Community Services</t>
  </si>
  <si>
    <t>Proffessional Fees Corporate Services</t>
  </si>
  <si>
    <t>Employee Related Cost Director Technical Services (Perfomance Bonus)</t>
  </si>
  <si>
    <t>D0001/IR05707/F4441/X049/R0106/001/FIN</t>
  </si>
  <si>
    <t>D0001/IR01429/F0047/X049/R0106/001/FIN</t>
  </si>
  <si>
    <t>O0024-1/IE00578/F0041/X045/R0105/001/MMO</t>
  </si>
  <si>
    <t>O0001/IE00584/F0045/X046/R0106/001/CORP</t>
  </si>
  <si>
    <t>O0001/IE01530/F0041/X098/R0105/001/EDP</t>
  </si>
  <si>
    <t>O0001/IE00607/F0041/X116/R0105/001/TECH</t>
  </si>
  <si>
    <t>O0001/IE06112/F0041/X116/R0105/001/TECH</t>
  </si>
  <si>
    <t>D0001/IR02318/F1177/X049/R0105/001/FIN</t>
  </si>
  <si>
    <t>O1232-7/IE00143/F0041/X049/R0106/001/FIN</t>
  </si>
  <si>
    <t>O0001/IE00595/F1177/X049/R0105/001/FIN</t>
  </si>
  <si>
    <t>O0001/IE00144/F0041/X049/R0105/001/FIN</t>
  </si>
  <si>
    <t>O0001/IE00036/F1177/X049/R0105/001/FIN</t>
  </si>
  <si>
    <t>O0001/IE01530/F0041/X051/R0105/001/CORP</t>
  </si>
  <si>
    <t>O0001/IE06196/F0041/X051/R0105/001/CORP</t>
  </si>
  <si>
    <t>O0001/IE06117/F0041/X051/R0105/001/CORP</t>
  </si>
  <si>
    <t>D0001/IR02310/F1169/X116/R0106/001/TECH</t>
  </si>
  <si>
    <t>O1565-1/IE00651/F0041/X116/R0106/001/TECH</t>
  </si>
  <si>
    <t>O0001/IE00036/F1169/X137/R0105/001/TECH</t>
  </si>
  <si>
    <t>O0001/IE00045/F1169/X137/R0105/001/TECH</t>
  </si>
  <si>
    <t>O1249-3/IE00847/F0041/X098/R0106/001/EDP</t>
  </si>
  <si>
    <t>O1116-1/IE00651/F0041/X116/R0106/001/TECH</t>
  </si>
  <si>
    <t>General Expenditure</t>
  </si>
  <si>
    <t xml:space="preserve">Subsistence and Travelling Allowance </t>
  </si>
  <si>
    <t xml:space="preserve">Computer Software, Programs and Licences </t>
  </si>
  <si>
    <t xml:space="preserve">Professional Fees </t>
  </si>
  <si>
    <t>Professional Fees ( Annual Report Printing )</t>
  </si>
  <si>
    <t>Professional Fees (IDP Printing)</t>
  </si>
  <si>
    <t xml:space="preserve">Ward Committes </t>
  </si>
  <si>
    <t>Reading Programme</t>
  </si>
  <si>
    <t xml:space="preserve">Social Cohesion/Dress a Child </t>
  </si>
  <si>
    <t>Social Cohesion/Ingoma</t>
  </si>
  <si>
    <t xml:space="preserve">Social Cohesion/Orphans and Farmworkers </t>
  </si>
  <si>
    <t>Social Cohesion/Dress a Child (School Uniform)</t>
  </si>
  <si>
    <t>Recruitment</t>
  </si>
  <si>
    <t xml:space="preserve">General Advertisement </t>
  </si>
  <si>
    <t xml:space="preserve">Communication and Branding </t>
  </si>
  <si>
    <t>Accomodation and Subsistence (Accomodation)</t>
  </si>
  <si>
    <t>Employee wellness</t>
  </si>
  <si>
    <t>OHS</t>
  </si>
  <si>
    <t>Repairs and Maintenance:</t>
  </si>
  <si>
    <t xml:space="preserve">Training and Seminars </t>
  </si>
  <si>
    <t>Subsistence and Travelling Allowance</t>
  </si>
  <si>
    <t xml:space="preserve">Cluster Commercial Gardens </t>
  </si>
  <si>
    <t xml:space="preserve">Cooperatives Development </t>
  </si>
  <si>
    <t xml:space="preserve">LED </t>
  </si>
  <si>
    <t xml:space="preserve">SMME Development </t>
  </si>
  <si>
    <t xml:space="preserve">Tourisim development </t>
  </si>
  <si>
    <t>EPWP</t>
  </si>
  <si>
    <t>Repairs and Maintenance</t>
  </si>
  <si>
    <t xml:space="preserve">Social Cohesion /Gender </t>
  </si>
  <si>
    <t xml:space="preserve">HIV and AIDS Programmes </t>
  </si>
  <si>
    <t>Catering</t>
  </si>
  <si>
    <t>Umkhosi womhlanga</t>
  </si>
  <si>
    <t>Operation Sukuma Sakhe</t>
  </si>
  <si>
    <t>Car Branding</t>
  </si>
  <si>
    <t>Council Meetings</t>
  </si>
  <si>
    <t>Licence and Registration fees</t>
  </si>
  <si>
    <t>Maskandi Festival</t>
  </si>
  <si>
    <t>Ndwedwe Music Festival</t>
  </si>
  <si>
    <t>Cluster Commercial Gardens (agricultural tool)</t>
  </si>
  <si>
    <t>Cluster Commercial Gardens (Support Seeds)</t>
  </si>
  <si>
    <t>Cooperatives Development (Support)</t>
  </si>
  <si>
    <t xml:space="preserve">SMME Development (Gaps Identification and Training) </t>
  </si>
  <si>
    <t xml:space="preserve">Council Training </t>
  </si>
  <si>
    <t>Budget and IDP Programme/ Mayoral Imbizo</t>
  </si>
  <si>
    <t xml:space="preserve">Printing and Stationery </t>
  </si>
  <si>
    <t>Waste Management (Uniform and Protective)</t>
  </si>
  <si>
    <t>Umkhosi Womhlanga (Catering)</t>
  </si>
  <si>
    <t>Umkhosi Womhlanga (Transport)</t>
  </si>
  <si>
    <t>Umkhosi Womhlanga (Promotional Materials)</t>
  </si>
  <si>
    <t>0001/IE06117/F0041/X006/R0105/001/COMM</t>
  </si>
  <si>
    <t>Employee Related Cost Director Community Services (Performance Bonuses)</t>
  </si>
  <si>
    <t>O0001/IE00059/F0041/X045/R0105/001/MMO</t>
  </si>
  <si>
    <t>Diary/calender's/folders/Flags/Banners</t>
  </si>
  <si>
    <t>Buildings Branding</t>
  </si>
  <si>
    <t>Council Meetings (Catering)</t>
  </si>
  <si>
    <t>Council Meetings (Tent Hire)</t>
  </si>
  <si>
    <t>Council Meetings (Sound system)</t>
  </si>
  <si>
    <t>Council Meetings (Accommodation and venue hire)</t>
  </si>
  <si>
    <t>O0006-2/IE00667/F0041/X046/R0105/001/CORP</t>
  </si>
  <si>
    <t>O0006-2/IE00571/F0041/X046/R0105/001/CORP</t>
  </si>
  <si>
    <t>O0006-2/IE00677/F0041/X046/R0105/001/CORP</t>
  </si>
  <si>
    <t>O0006-2/IE00060/F0041/X046/R0105/001/CORP</t>
  </si>
  <si>
    <t>Professional Fees (Electronic Records management)</t>
  </si>
  <si>
    <t>Professional Fees (ICT Maintenance)</t>
  </si>
  <si>
    <t>Professional Fees (Website Hosting)</t>
  </si>
  <si>
    <t>Professional Fees (E-Leave management)</t>
  </si>
  <si>
    <t>O0018-1/IE00021/F0041/X046/R0105/001/CORP</t>
  </si>
  <si>
    <t>Subsistence,Travelling &amp; Accommodation (Car hire- without operator)</t>
  </si>
  <si>
    <t>Subsistence,Travelling &amp; Accommodation (Car hire- with operator (shuttle)</t>
  </si>
  <si>
    <t>Subsistence,Travelling &amp; Accommodation (Incidental costs)</t>
  </si>
  <si>
    <t>Employee related cost Director Corporate  Services (Performance Bonus)</t>
  </si>
  <si>
    <t>Employee related cost Director Corporate  Services (Medical Aid)</t>
  </si>
  <si>
    <t>Ndwedwe Music Festival (Grant)</t>
  </si>
  <si>
    <t>Ndwedwe Music Festival (Electrical Lights)</t>
  </si>
  <si>
    <t>Ndwedwe Music Festival (Fencing)</t>
  </si>
  <si>
    <t>O1291-5/IE00634/F0041/X098/R0106/001/EDP</t>
  </si>
  <si>
    <t>O1291-5/IE00663/F0041/X098/R0106/001/EDP</t>
  </si>
  <si>
    <t>Maskandi Festival (Promotional Gifts)</t>
  </si>
  <si>
    <t>Maskandi Festival (Catering)</t>
  </si>
  <si>
    <t>Maskandi Festival (Stage and Sound System)</t>
  </si>
  <si>
    <t>O1306-1/IE00667/F0041/X098/R0106/001/EDP</t>
  </si>
  <si>
    <t>O1306-1/IE00677/F0041/X098/R0106/001/EDP</t>
  </si>
  <si>
    <t>O1306-1/IE00754/F0041/X098/R0106/001/EDP</t>
  </si>
  <si>
    <t>Cluster Commercial Gardens (Gardens Fencing)</t>
  </si>
  <si>
    <t>Cluster Commercial Gardens (Water Supply system)</t>
  </si>
  <si>
    <t>O1217-5/IE00629/F0041/X098/R0106/001/EDP</t>
  </si>
  <si>
    <t>O1217-5/IE00663/F0041/X098/R0106/001/EDP</t>
  </si>
  <si>
    <t xml:space="preserve">Ndwedwe Town Development </t>
  </si>
  <si>
    <t>Ndwedwe Town Development (Engineering)</t>
  </si>
  <si>
    <t>Ndwedwe Town Development (Town Planning)</t>
  </si>
  <si>
    <t>Employee Related Cost Director EDP (Medical Aid)</t>
  </si>
  <si>
    <t>Employee Related Cost Director EDP (Performance Bonus)</t>
  </si>
  <si>
    <t>O0001/IE06109/F0041/X098/R0105/001/EDP</t>
  </si>
  <si>
    <t>O0001/IE00840/F0041/X044/R0105/001/EXEC</t>
  </si>
  <si>
    <t>Project Hand Over, Sol Turning and General project meetings</t>
  </si>
  <si>
    <t>O0001/IE00143/F0041/X116/R0105/001/TECH</t>
  </si>
  <si>
    <t>GIS Projects</t>
  </si>
  <si>
    <t>Provincial Library Grant</t>
  </si>
  <si>
    <t>Community Library Services Grant</t>
  </si>
  <si>
    <t>Social Cohesion/Umkhosi Wesintu</t>
  </si>
  <si>
    <t>O1354-1/IE00636/F0041/X098/R0106/001/EDP</t>
  </si>
  <si>
    <t>O0370-1/IE00651/F0041/X116/R0106/001/TECH</t>
  </si>
  <si>
    <t>D0001/IR01038/F2496/X049/R0105/001/FIN</t>
  </si>
  <si>
    <t>Clearance Certificates</t>
  </si>
  <si>
    <t>D0001/IR01435/F0045/X049/R0105/001/FIN</t>
  </si>
  <si>
    <t>D0001/IR01420/F0045/X049/R0105/001/FIN</t>
  </si>
  <si>
    <t>Insurance Refund</t>
  </si>
  <si>
    <t>D0001/IR01411/F0045/X049/R0105/001/FIN</t>
  </si>
  <si>
    <t>Administrative Handling</t>
  </si>
  <si>
    <t>D0001/IR01424/F0045/X049/R0105/001/FIN</t>
  </si>
  <si>
    <t>Skills Development Levy Refund</t>
  </si>
  <si>
    <t xml:space="preserve">Interest Earned on Short Term Investments  </t>
  </si>
  <si>
    <t>D0001/IR01061/F2495/X049/R0105/001/FIN</t>
  </si>
  <si>
    <t>D0001/IR02344/F0041/X049/R0105/001/FIN</t>
  </si>
  <si>
    <t>D0001/IR01484/F2496/X049/R0106/001/FIN</t>
  </si>
  <si>
    <t>D0001/IR01496/F2496/X049/R0106/001/FIN</t>
  </si>
  <si>
    <t>D0001/IR01043/F2496/X049/R0106/001/FIN</t>
  </si>
  <si>
    <t>D0001/IR01048/F2496/X049/R0106/001/FIN</t>
  </si>
  <si>
    <t>Sale of Tender Documents</t>
  </si>
  <si>
    <t>D0001/IR01113/F0047/X049/R0106/001/FIN</t>
  </si>
  <si>
    <t>D0001/IR01068/F2494/X049/R0106/001/FIN</t>
  </si>
  <si>
    <t>D0001/IR01265/F0046/X049/R0105/001/FIN</t>
  </si>
  <si>
    <t>Assets less than the Capitalization Threshold (EPWP)</t>
  </si>
  <si>
    <t>O0001/IE00550/F0041/X116/R0106/001/TECH</t>
  </si>
  <si>
    <t>O0001/IE00030/F0001/X049/R0106/001/FIN</t>
  </si>
  <si>
    <t>O0001/IE07606/F0001/X049/R0106/001/FIN</t>
  </si>
  <si>
    <t>O0001/IE00709/F0001/X049/R0106/001/FIN</t>
  </si>
  <si>
    <t>O0001/IE00711/F0001/X049/R0106/001/FIN</t>
  </si>
  <si>
    <t>O0001/IE00715/F0001/X049/R0106/001/FIN</t>
  </si>
  <si>
    <t>O0001/IE07587/F0001/X049/R0106/001/FIN</t>
  </si>
  <si>
    <t>O0001/IE00723/F0001/X049/R0106/001/FIN</t>
  </si>
  <si>
    <t>O0001/IE00848/F0041/X049/R0105/001/FIN</t>
  </si>
  <si>
    <t>Employee Related Cost (Long Term Service Awards)</t>
  </si>
  <si>
    <t>O0001/IE00110/F0041/X116/R0105/001/TECH</t>
  </si>
  <si>
    <t>O0001/IE00110/F0041/X045/R0105/001/MMO</t>
  </si>
  <si>
    <t>O0001/IE00110/F0041/X051/R0105/001/CORP</t>
  </si>
  <si>
    <t>O0001/IE00110/F0041/X098/R0105/001/EDP</t>
  </si>
  <si>
    <t>O0001/IE00110/F0041/X006/R0105/001/COMM</t>
  </si>
  <si>
    <t>O0001/IE06772/F0041/X049/R0105/001/FIN</t>
  </si>
  <si>
    <t>Depreciation, Amortization &amp; Impairment (Computer Software)</t>
  </si>
  <si>
    <t>D0001/IR006985/F13636/X024/R0106/001/COMM</t>
  </si>
  <si>
    <t>D0001/IR006972/F13636/X024/R0105/001/COMM</t>
  </si>
  <si>
    <t>Social Cohesion/Orphans and Farm workers (Transport)</t>
  </si>
  <si>
    <t xml:space="preserve">Social Cohesion/Orphans and Farm workers (Catering) </t>
  </si>
  <si>
    <t>Social Cohesion/Orphans and Farm workers (Sound System and Stage)</t>
  </si>
  <si>
    <t>O0001/IE00595/F13636/X024/R0105/001/COMM</t>
  </si>
  <si>
    <t>Social Cohesion/Umkhosi Wesintu (Catering,)</t>
  </si>
  <si>
    <t>Social Cohesion/Umkhosi Wesintu (facilitator)</t>
  </si>
  <si>
    <t>Social Cohesion/Umkhosi Wesintu (Sound System and Stage)</t>
  </si>
  <si>
    <t>Social Cohesion/Umkhosi Wesintu (Tent )</t>
  </si>
  <si>
    <t>Social Cohesion/Umkhosi Wesintu (Transport)</t>
  </si>
  <si>
    <t>O0001/IE01530/F13636/X024/R0105/001/COMM</t>
  </si>
  <si>
    <t>O0001/IE00040/F13636/X024/R0105/001/COMM</t>
  </si>
  <si>
    <t>O0001/IE00045/F13636/X024/R0105/001/COMM</t>
  </si>
  <si>
    <t>O0001/IE03969/F13636/X024/R0105/001/COMM</t>
  </si>
  <si>
    <t>O0001/IE00645/F0041/X046/R0105/001/CORP</t>
  </si>
  <si>
    <t>O3612/IR01481/F0001/X049/R5253/001/FIN</t>
  </si>
  <si>
    <t>Property Rates (Rebate)</t>
  </si>
  <si>
    <t>O0001/IE00040/F1177/X049/R0105/001/FINA</t>
  </si>
  <si>
    <t>O0001/IE00045/F1177/X049/R0105/001/FINA</t>
  </si>
  <si>
    <t>O0001/IE06071/F0041/X049/R0105/001/FIN</t>
  </si>
  <si>
    <t>O0001/IE01521/F0041/X049/R0105/001/FIN</t>
  </si>
  <si>
    <t>O0001/IE00045/F0041/X049/R0105/001/FINA</t>
  </si>
  <si>
    <t>O0001/IE00040/F0041/X049/R0105/001/FIN</t>
  </si>
  <si>
    <t>O0001/IE06061/F0041/X049/R0105/001/FIN</t>
  </si>
  <si>
    <t>O0001/IE03969/F0041/X049/R0105/001/FIN</t>
  </si>
  <si>
    <t>O0001/IE01530/F0041/X049/R0105/001/FIN</t>
  </si>
  <si>
    <t>O0001/IE00126/F0041/X049/R0105/001/FINA</t>
  </si>
  <si>
    <t>O0001/IE00043/F0041/X049/R0105/001/FINA</t>
  </si>
  <si>
    <t>O0001/IE00038/F0041/X049/R0105/001/FINA</t>
  </si>
  <si>
    <t>O0001/IE06059/F0041/X049/R0105/001/FIN</t>
  </si>
  <si>
    <t>O0001/IE00044/F0041/X049/R0105/001/FINA</t>
  </si>
  <si>
    <t>O0001/IE00036/F0041/X049/R0105/001/FIN</t>
  </si>
  <si>
    <t xml:space="preserve">Employee Related Cost (Bargaining Council (Interns)
</t>
  </si>
  <si>
    <t xml:space="preserve">Employee Related Cost (UIF Interns)
</t>
  </si>
  <si>
    <t xml:space="preserve">Employee Related Cost (Director Finance UIF)
</t>
  </si>
  <si>
    <t xml:space="preserve">Employee Related Cost (Housing Subsidy)
</t>
  </si>
  <si>
    <t xml:space="preserve">Employee Related Cost (UIF)
</t>
  </si>
  <si>
    <t xml:space="preserve">Employee Related Cost (Bargaining Council)
</t>
  </si>
  <si>
    <t xml:space="preserve">Employee Related Cost (Long Term Service Awards)
</t>
  </si>
  <si>
    <t xml:space="preserve">Employee Related Cost (Director finance Performance Bonus)
</t>
  </si>
  <si>
    <t xml:space="preserve">Employee Related Cost (Overtime)
</t>
  </si>
  <si>
    <t xml:space="preserve">Employee Related Cost (Leave Pay)
</t>
  </si>
  <si>
    <t xml:space="preserve">Employee Related Cost (Director finance Motor and Vehicle Allowance)
</t>
  </si>
  <si>
    <t xml:space="preserve">Employee Related Cost (Vehicle Allowance)
</t>
  </si>
  <si>
    <t xml:space="preserve">Employee Related Cost (Medical Aid)
</t>
  </si>
  <si>
    <t>Employee Related Cost (Interns Salaries and Allowances )</t>
  </si>
  <si>
    <t xml:space="preserve">Employee Related Cost (Bonus)
</t>
  </si>
  <si>
    <t xml:space="preserve">Employee Related Cost (Director finance Salaries and Allowances)
</t>
  </si>
  <si>
    <t xml:space="preserve">Employee Related Cost (Provident Fund and Pension - RA)
</t>
  </si>
  <si>
    <t xml:space="preserve">Employee Related Cost (Salaries and Allowances)
</t>
  </si>
  <si>
    <t>O0001/IE00043/F13636/X024/R0105/001/COMM</t>
  </si>
  <si>
    <t>O0001/IE00038/F13636/X024/R0105/001/COMM</t>
  </si>
  <si>
    <t>O0001/IE00044/F13636/X024/R0105/001/COMM</t>
  </si>
  <si>
    <t>O0001/IE00036/F13636/X024/R0105/001/COMM</t>
  </si>
  <si>
    <t>O1224-2/IE00632/F0041/X098/R0106/001/EDP</t>
  </si>
  <si>
    <t>Cooperatives Development (Transport)</t>
  </si>
  <si>
    <t>Indigent Burial (Indigent Burial)</t>
  </si>
  <si>
    <t>Strategic Planning</t>
  </si>
  <si>
    <t>O0001/IE00604/F0041/X049/R0105/001/FIN</t>
  </si>
  <si>
    <t xml:space="preserve">Finance Uniforms </t>
  </si>
  <si>
    <t xml:space="preserve">Employees Related Cost Clothing Allowance </t>
  </si>
  <si>
    <t>O1486-1/IE00636/F0041/X044/R0105/001/EXEC</t>
  </si>
  <si>
    <t>O1234-1/IE00695/F0041/X132/R0106/001/COMM</t>
  </si>
  <si>
    <t>O1565-3/IE00651/F0041/X098/R0106/001/EDP</t>
  </si>
  <si>
    <t>Repairs and Maintenance C Tractor Maintenance)</t>
  </si>
  <si>
    <t>O1249-5/IE00703/F0041/X098/R0106/001/EDP</t>
  </si>
  <si>
    <t>O0001/IE00128/F0041/X045/R0105/001/MMO</t>
  </si>
  <si>
    <t>D0001/IR01040/F0001/X049/R0105/001/FIN</t>
  </si>
  <si>
    <t>O0001/IE07560/F0001/X049/R0106/001/FIN</t>
  </si>
  <si>
    <t>(Surplus)/Deficit</t>
  </si>
  <si>
    <t>2020/2021 Draft Budget</t>
  </si>
  <si>
    <t>2021/2022 Outer Year One</t>
  </si>
  <si>
    <t>2022/2023 Outer Year Two</t>
  </si>
  <si>
    <t>Building Plan Approval</t>
  </si>
  <si>
    <t>FMG</t>
  </si>
  <si>
    <t>Total General Expenditure</t>
  </si>
  <si>
    <t>LOCAL ECONOMIC DEVELOPMENT</t>
  </si>
  <si>
    <t>Branding (bunners and bilboards for mini-factories</t>
  </si>
  <si>
    <t>TOWN PLANNING</t>
  </si>
  <si>
    <t>Grand Total Expenditure (LED)</t>
  </si>
  <si>
    <t>GRAND TOTAL EXPENDITURE (TOWN PLANNING)</t>
  </si>
  <si>
    <t>EDP TOTAL EXPENDITURE</t>
  </si>
  <si>
    <t>GRAND TOTAL EXPENDITURE (LED)</t>
  </si>
  <si>
    <t>LIBRARY</t>
  </si>
  <si>
    <t>GRAND TOTAL EXPENDITURE (LIBRARY)</t>
  </si>
  <si>
    <t>SOCIAL COHESION</t>
  </si>
  <si>
    <t>GRAND TOTAL EXPENDITURE (SOCIAL COHESION)</t>
  </si>
  <si>
    <t>SOLID WASTE REMOVAL</t>
  </si>
  <si>
    <t>GRAND TOTAL EXPENDITURE (SOLID WASTE REMOVAL)</t>
  </si>
  <si>
    <t>COMMUNITY SOCIAL SERVICES</t>
  </si>
  <si>
    <t>Professional Fees (Review Intergrated Waste Management Plan)</t>
  </si>
  <si>
    <t>GRAND TOTAL EXPENDITURE (COMMUNITY SOCIAL SERVICES)</t>
  </si>
  <si>
    <t>TOTAL EXPENDITURE COMMUNITY SERVICES</t>
  </si>
  <si>
    <t>(SUPLUS)/DEFICIT</t>
  </si>
  <si>
    <t>GRAND TOTAL EXPENDITURE (IPD/PMS)</t>
  </si>
  <si>
    <t>PUBLIC PARTICIPATION</t>
  </si>
  <si>
    <t>MUNICIPAL MANAGER'S OFFICE</t>
  </si>
  <si>
    <t>GRAND TOTAL EXPENDITURE (MUNICIPALMANAGER'S OFFICE)</t>
  </si>
  <si>
    <t>GRAND TOTAL EXPENDITURE (PUBLIC PARTICIPATION)</t>
  </si>
  <si>
    <t>PUBLIC WORKS</t>
  </si>
  <si>
    <t>GRAND TOTAL EXPENDITURE (PUBLIC WORKS)</t>
  </si>
  <si>
    <t>PROJECT MANAGEMENT UNIT</t>
  </si>
  <si>
    <t>GRAND TOTAL EXPENDITURE (PMU)</t>
  </si>
  <si>
    <t>Social Cohesion/ Disability Programme</t>
  </si>
  <si>
    <t>Social Cohesion/Senior Citizen  Program</t>
  </si>
  <si>
    <t>Social Cohesion/Senior Citizen (Catering,)</t>
  </si>
  <si>
    <t>Social Cohesion/Senior citizens (Sound System and Stage)</t>
  </si>
  <si>
    <t>Social Cohesion/ Senior Citizens (Tent )</t>
  </si>
  <si>
    <t>Social Cohesion/Senior Citizens (Transport)</t>
  </si>
  <si>
    <t xml:space="preserve">Moral Regeneration Program </t>
  </si>
  <si>
    <t>Civil Society Forums Advisory meeting</t>
  </si>
  <si>
    <t xml:space="preserve">16 Days of Activisim Program </t>
  </si>
  <si>
    <t>GRAND TOTAL EXPENDITURE (FINANCE)</t>
  </si>
  <si>
    <t>Cleaning services (Stock)</t>
  </si>
  <si>
    <t>GRAND TOTAL EXPENDITURE (SCM)</t>
  </si>
  <si>
    <t>GRAND TOTAL EXPENDITURE (EXECUTIVE COUNCIL)</t>
  </si>
  <si>
    <t>HUMAN RESOURCES</t>
  </si>
  <si>
    <t>Hiring of plant and Equipment</t>
  </si>
  <si>
    <t>Service Charges</t>
  </si>
  <si>
    <t>Refuse Collection</t>
  </si>
  <si>
    <t>Total Serives Charges</t>
  </si>
  <si>
    <t>Services Charges</t>
  </si>
  <si>
    <t xml:space="preserve">Subsistence &amp; Travelling Allowance </t>
  </si>
  <si>
    <t>Total Transfer and Subsidies</t>
  </si>
  <si>
    <t>GRAND TOTAL EXPENDITURE (HUMAN RESOURCES)</t>
  </si>
  <si>
    <t>INFORMATION TECHNOLOGY</t>
  </si>
  <si>
    <t>ADMINISTRATION</t>
  </si>
  <si>
    <t>GRAND TOTAL EXPENDITURE (IT)</t>
  </si>
  <si>
    <t>Professional Fees ( layout for reception revamp)</t>
  </si>
  <si>
    <t>Professional Fees ( layout for mun building branding)</t>
  </si>
  <si>
    <t>GRAND TOTAL EXPENDITURE (ADMINISTRATION)</t>
  </si>
  <si>
    <t>LEGAL SERVICES</t>
  </si>
  <si>
    <t>TOTAL EXPENDITURE CORPORATE SERVICES</t>
  </si>
  <si>
    <t>TOTAL EXPENDITURE (BUDGET AND TREASURY OFFICE)</t>
  </si>
  <si>
    <t xml:space="preserve">Ndwedwe Youth Run Series </t>
  </si>
  <si>
    <t>Ndwedwe Indegenous Games Local Selections</t>
  </si>
  <si>
    <t xml:space="preserve">Ilembe District Indegenous Games Competition </t>
  </si>
  <si>
    <t>Provincial Indegenous Games Competition</t>
  </si>
  <si>
    <t>Provincial IGs Competition (Transport)</t>
  </si>
  <si>
    <t xml:space="preserve">National Indegenous Games Competition </t>
  </si>
  <si>
    <t>Dundee July 2020</t>
  </si>
  <si>
    <t>Nkandla May</t>
  </si>
  <si>
    <t xml:space="preserve">Harry Gwala Summer Cup Horse Racing </t>
  </si>
  <si>
    <t>Ndwedwe Golden Games / Senior Citezens Local Selections</t>
  </si>
  <si>
    <t>Ndwedwe GG / SC Local Selections (Catering)</t>
  </si>
  <si>
    <t>Ndwedwe GG / SC Local Selections (Sound)</t>
  </si>
  <si>
    <t>Ndwedwe GG / SC Local Selections (Transport)</t>
  </si>
  <si>
    <t>Ndwedwe GG / SC Local Selections (Mobile Ambulance)</t>
  </si>
  <si>
    <t>Ndwedwe GG / SC Local Selections (Tent and Toilets)</t>
  </si>
  <si>
    <t>Ilembe District Golden Games Selections</t>
  </si>
  <si>
    <t>Provincial Golden Games Competitions</t>
  </si>
  <si>
    <t>National Golden Games Competitions</t>
  </si>
  <si>
    <t>National GG (Petty Cash for Refreshments)</t>
  </si>
  <si>
    <t>Ndwedwe Disability Games Local Competition</t>
  </si>
  <si>
    <t>NDW Dis Games (Catering)</t>
  </si>
  <si>
    <t>NDW Dis Games (Transport)</t>
  </si>
  <si>
    <t>NDW Dis Games (Sound System)</t>
  </si>
  <si>
    <t>NDW Dis Games (Mobile Ambulance)</t>
  </si>
  <si>
    <t xml:space="preserve">Ilembe District Disability Games Competition </t>
  </si>
  <si>
    <t>Ilembe Disability (Sport Apparel)</t>
  </si>
  <si>
    <t xml:space="preserve">Provincial Disability Games </t>
  </si>
  <si>
    <t>Prov Disability Games (Transport)</t>
  </si>
  <si>
    <t xml:space="preserve">Ndwedwe Aerobics Marathon </t>
  </si>
  <si>
    <t xml:space="preserve">School Sport Competition </t>
  </si>
  <si>
    <t xml:space="preserve">Sport Training Equipment </t>
  </si>
  <si>
    <t>KZN SALGA DSR GAMES 2020 / 2021</t>
  </si>
  <si>
    <t xml:space="preserve">Ndwedwe WARD SALGA GAMES </t>
  </si>
  <si>
    <t>Ndwedwe Inter-Wards (Transport)</t>
  </si>
  <si>
    <t>Ndwedwe Inter-Wards (Refreshments)</t>
  </si>
  <si>
    <t>Ndwedwe Inter-Zonal Games (Transport)</t>
  </si>
  <si>
    <t>Ndwedwe Inter-Zonal Games (Tent and Mobile Toilets)</t>
  </si>
  <si>
    <t>Ndwedwe Inter-Zonal Games (Catering)</t>
  </si>
  <si>
    <t>Ndwedwe Inter-Zonal Games (Sound System)</t>
  </si>
  <si>
    <t>Ndwedwe Inter-Zonal Games (Ambulance)</t>
  </si>
  <si>
    <t>Ndwedwe Inter-Zonal Games (Prizes / Gifts)</t>
  </si>
  <si>
    <t>Ilembe District Inter-Municipal SALGA DRS Games (Transport)</t>
  </si>
  <si>
    <t>Ilembe District Inter-Municipal SALGA DRS Games (Refreshments)</t>
  </si>
  <si>
    <t>Ndwedwe Mayoral Cup Competition</t>
  </si>
  <si>
    <t>Training, Workshops, Seminars and Conferences</t>
  </si>
  <si>
    <t>Capacity Building Workshops (Transport)</t>
  </si>
  <si>
    <t>Capacity Building Workshops (Refreshments)</t>
  </si>
  <si>
    <t>Capacity Building Workshop (Facilitator / Service Provider</t>
  </si>
  <si>
    <t xml:space="preserve">Youth Development </t>
  </si>
  <si>
    <t>Job Readiness (Catering)</t>
  </si>
  <si>
    <t>Job Readiness (Sound and Stage)</t>
  </si>
  <si>
    <t>Job Readiness (Transport)</t>
  </si>
  <si>
    <t>Youth SMME Seminar (Catering)</t>
  </si>
  <si>
    <t>Youth SMME Seminar (Sound and Stage)</t>
  </si>
  <si>
    <t>Youth SMME Seminar (Transport)</t>
  </si>
  <si>
    <t>Youth SMME Support (Equipment and Mechanisation)</t>
  </si>
  <si>
    <t>Youth IDP (Catering)</t>
  </si>
  <si>
    <t>Youth IDP (Entertainment)</t>
  </si>
  <si>
    <t>Youth IDP (Sound and Stage)</t>
  </si>
  <si>
    <t>Youth IDP (Transport)</t>
  </si>
  <si>
    <t>Exam Prayer, Life Coaching and Motivations (Catering)</t>
  </si>
  <si>
    <t>Exam Prayer, Life Coaching and Motivations (Transport)</t>
  </si>
  <si>
    <t xml:space="preserve">Exam Prayer, Life Coaching and Motivations (Entertainment) </t>
  </si>
  <si>
    <t>Exam Prayer, Life Coaching and Motivations (Sound and Stage)</t>
  </si>
  <si>
    <t>Youth Summit (Catering)</t>
  </si>
  <si>
    <t>Youth Summit (Transport)</t>
  </si>
  <si>
    <t>Youth Summit (Sound and Stage)</t>
  </si>
  <si>
    <t>Youth Summit (Venue Hire)</t>
  </si>
  <si>
    <t xml:space="preserve">Online CAO NSFAS Applications (Catering) </t>
  </si>
  <si>
    <t xml:space="preserve">Online CAO NSFAS Applications (Data and WiFi) </t>
  </si>
  <si>
    <t xml:space="preserve">Top Achievers Awards Ceremony (Catering) </t>
  </si>
  <si>
    <t xml:space="preserve">Top Achievers Awards Ceremony (Transport) </t>
  </si>
  <si>
    <t>Top Achievers Awards Ceremony (Sound and Stage)</t>
  </si>
  <si>
    <t>Top Achievers Awards Ceremony (Gifts and Promotional Items)</t>
  </si>
  <si>
    <t>Junior Council Launch (Catering)</t>
  </si>
  <si>
    <t>Junior Council Launch (Sound and Stage)</t>
  </si>
  <si>
    <t xml:space="preserve">Junior Council Launch (Transport) </t>
  </si>
  <si>
    <t>Youth Revolutionary Programmes (Catering)</t>
  </si>
  <si>
    <t>Youth Revolutionary Programmes (Transport)</t>
  </si>
  <si>
    <t>Youth Revolutionary Programmes (Sound, Tent and Stage)</t>
  </si>
  <si>
    <t xml:space="preserve">Career Guidance and Career Expo </t>
  </si>
  <si>
    <t>Miss Heritage (Catering)</t>
  </si>
  <si>
    <t>Miss Heritage (Entertainment and Facilitators)</t>
  </si>
  <si>
    <t>Faith based Youth Forum  (Catering)</t>
  </si>
  <si>
    <t>Faith based Youth Forum (Transport)</t>
  </si>
  <si>
    <t>Faith based Youth Forum (Sound and Stage)</t>
  </si>
  <si>
    <t>Young Local Artists Support and Workshop (Catering)</t>
  </si>
  <si>
    <t>Young Local Artists Support and Workshop (Transport)</t>
  </si>
  <si>
    <t>Young Local Artists Support and Workshop (Sound and Stage)</t>
  </si>
  <si>
    <t>Ndwedwe Boys Camp</t>
  </si>
  <si>
    <t>Cellphones Charges (Cellphones Charges)</t>
  </si>
  <si>
    <t>O0001/IE00602/F0041/X046/R0105/001/CORP</t>
  </si>
  <si>
    <t>Toll Gate Fees</t>
  </si>
  <si>
    <t>Membership Fees (Membership Fees) SALGA</t>
  </si>
  <si>
    <t>Insurance WCA (Insurance WCA)</t>
  </si>
  <si>
    <t>GRAND TOTAL EXPENDITURE (SPORT AND RECREATION)</t>
  </si>
  <si>
    <t>YOUTH DEVELOPMENT</t>
  </si>
  <si>
    <t>GRAND TOTAL EXPENDITURE (YOUTH DEVELOPMENT)</t>
  </si>
  <si>
    <t>Speaker Imbizo</t>
  </si>
  <si>
    <t>O1240-3/IE00677/F0041/X045/R0106/001/MMO</t>
  </si>
  <si>
    <t>Speaker Imbizo (Catering)</t>
  </si>
  <si>
    <t>O1240-4/IE00667/F0041/X045/R0106/001/MMO</t>
  </si>
  <si>
    <t>Speaker Imbizo (Sound System)</t>
  </si>
  <si>
    <t>O1240-6/IE00626/F0041/X045/R0106/001/MMO</t>
  </si>
  <si>
    <t>Speaker Imbizo (Entertainment)</t>
  </si>
  <si>
    <t>O1240-4/IE00571/F0041/X045/R0106/001/MMO</t>
  </si>
  <si>
    <t>Speaker Imbizo (Tent Hire)</t>
  </si>
  <si>
    <t>O1240-4/IE00703/F0041/X045/R0106/001/MMO</t>
  </si>
  <si>
    <t>Speaker Imbizo (Transport)</t>
  </si>
  <si>
    <t>O1240-4/IE00754/F0041/X045/R0106/001/MMO</t>
  </si>
  <si>
    <t xml:space="preserve">Speaker Imbizo (Promotional Materials) </t>
  </si>
  <si>
    <t>TOTAL EXPENDITURE (MUNICIPAL MANAGER)</t>
  </si>
  <si>
    <t>Thumamina Project</t>
  </si>
  <si>
    <t>O1234-3/IE00604/F0041/X045/R0106/001/MMO</t>
  </si>
  <si>
    <t>Thumamina (Protective Clothing Apparel)</t>
  </si>
  <si>
    <t>O1234-3/IE00677/F0041/X045/R0106/001/MMO</t>
  </si>
  <si>
    <t>Thumamina (Catering)</t>
  </si>
  <si>
    <t>O1234-3/IE00754/F0041/X045/R0106/001/MMO</t>
  </si>
  <si>
    <t>Thumamina (Promotional Materials)</t>
  </si>
  <si>
    <t xml:space="preserve">Communication </t>
  </si>
  <si>
    <t>O1238-1/IE00772/F0041/X045/R0105/001/MMO</t>
  </si>
  <si>
    <t>Communication (Mayor slot (Publicity)</t>
  </si>
  <si>
    <t>O1239-1/IE00755/F0041/X045/R0106/001/MMO</t>
  </si>
  <si>
    <t>Communication (Municipal Newsletters)</t>
  </si>
  <si>
    <t>O1239-1/IE00772/F0041/X045/R0106/001/MMO</t>
  </si>
  <si>
    <t>Communication (Radio and TV Transmissions)</t>
  </si>
  <si>
    <t>O1238-4/IE00677/F0041/X045/R0105/001/MMO</t>
  </si>
  <si>
    <t>Catering - Tour and Briefings</t>
  </si>
  <si>
    <t>Disaster Management  ( Emergency Relief )</t>
  </si>
  <si>
    <t xml:space="preserve">DISASTER MANAGEMENT  </t>
  </si>
  <si>
    <t>Software licence</t>
  </si>
  <si>
    <t>Technical Uniform</t>
  </si>
  <si>
    <t>GRAND TOTAL EXPENDITURE (LEGAL SERVICES)</t>
  </si>
  <si>
    <t>TOTAL EXPENDITURE (TECHNICAL SERVICES)</t>
  </si>
  <si>
    <t xml:space="preserve">Graphic Design, Video and Theme Banners </t>
  </si>
  <si>
    <t>SUPPLY CHAIN MANAGEMENT (X58)</t>
  </si>
  <si>
    <t>IDP AND PMS X096)</t>
  </si>
  <si>
    <t>O1236-2/IE00677/F0041/X096/R0106/001/MMO</t>
  </si>
  <si>
    <t>O1236-2/IE00626/F0041/X096/R0106/001/MMO</t>
  </si>
  <si>
    <t>O1236-2/IE00628/F0041/X096/R0106/001/MMO</t>
  </si>
  <si>
    <t>O1236-2/IE00571/F0041/X096/R0106/001/MMO</t>
  </si>
  <si>
    <t>O1236-2/IE00703/F0041/X096/R0106/001/MMO</t>
  </si>
  <si>
    <t>O0001/IE00583/F0041/X096/R0105/001/MMO</t>
  </si>
  <si>
    <t>O0001/IE00584/F0041/X096/R0105/001/MMO</t>
  </si>
  <si>
    <t>O0001/IE00583/F0041/X096/R0106/001/MMO</t>
  </si>
  <si>
    <t>Ndwedwe Youth Run Series (Refreshment)</t>
  </si>
  <si>
    <t>Ndwedwe Youth Run Series (Transport)</t>
  </si>
  <si>
    <t>Ndwedwe Youth Run Series (Tent, Toilets and Sound)</t>
  </si>
  <si>
    <t>O1333-4/IE00677/F0041/X125/R0106/001/MMO</t>
  </si>
  <si>
    <t>SPORT AND RECREATION (X125)</t>
  </si>
  <si>
    <t>O1333-4/IE00703/F0041/X125/R0106/001/MMO</t>
  </si>
  <si>
    <t>O1333-4/IE00571/F0041/X125/R0106/001/MMO</t>
  </si>
  <si>
    <t>Ndwedwe IGs Local Selections (Refreshments)</t>
  </si>
  <si>
    <t>Ndwedwe IGs Local Selections (Tent, Chairs and Toilets)</t>
  </si>
  <si>
    <t>Ndwedwe IGs Local Selections (Transport)</t>
  </si>
  <si>
    <t>Ndwedwe IGs Local Selections (Sound System)</t>
  </si>
  <si>
    <t>Ndwedwe IGs Local Selections (Mobile Ambulance)</t>
  </si>
  <si>
    <t>O1333-5/IE00677/F0041/X125/R0106/001/MMO</t>
  </si>
  <si>
    <t>O1333-5/IE00703/F0041/X125/R0106/001/MMO</t>
  </si>
  <si>
    <t>O1333-5/IE00667/F0041/X125/R0106/001/MMO</t>
  </si>
  <si>
    <t>O1333-5/IE00653/F0041/X125/R0106/001/MMO</t>
  </si>
  <si>
    <t>Ilember District IGs (Transport)</t>
  </si>
  <si>
    <t>Ilembe District IGs (Apparel)</t>
  </si>
  <si>
    <t>O1333-6/IE00754/F0041/X125/R0106/001/MMO</t>
  </si>
  <si>
    <t>O1333-7/IE00703/F0041/X125/R0106/001/MMO</t>
  </si>
  <si>
    <t>Provincial IGs Competition (Accommodation)</t>
  </si>
  <si>
    <t>O1333-7/IE00060/F0041/X125/R0106/001/MMO</t>
  </si>
  <si>
    <t>National IGs Competition Flights and Car hire</t>
  </si>
  <si>
    <t>O1333-8/IE00060/F0041/X125/R0106/001/MMO</t>
  </si>
  <si>
    <t>National IGs Competition Accommodation</t>
  </si>
  <si>
    <t>O1333-8/IE01581/F0041/X125/R0106/001/MMO</t>
  </si>
  <si>
    <t>O1333-8/IE00677/F0041/X125/R0106/001/MMO</t>
  </si>
  <si>
    <t xml:space="preserve">National IGs Competition Petty Cash for Refreshments </t>
  </si>
  <si>
    <t xml:space="preserve">Dundee July Horses Transportation from Wards to NDW Central </t>
  </si>
  <si>
    <t xml:space="preserve">Dundee July Accomodation </t>
  </si>
  <si>
    <t>O1333-9/IE00703/F0041/X125/R0106/001/MMO</t>
  </si>
  <si>
    <t>O1333-9/IE00060/F0041/X125/R0106/001/MMO</t>
  </si>
  <si>
    <t xml:space="preserve">Nkandla May Accommodation </t>
  </si>
  <si>
    <t>O1333-10/IE00060/F0041/X125/R0106/001/MMO</t>
  </si>
  <si>
    <t xml:space="preserve">Harry Gwala Summer Cup Horses Racing Accommodation </t>
  </si>
  <si>
    <t>O1333-11/IE00060/F0041/X125/R0106/001/MMO</t>
  </si>
  <si>
    <t>O1333-12/IE00677/F0041/X125/R0106/001/MMO</t>
  </si>
  <si>
    <t>O1333-12/IE00667/F0041/X125/R0106/001/MMO</t>
  </si>
  <si>
    <t>O1333-12/IE00703/F0041/X125/R0106/001/MMO</t>
  </si>
  <si>
    <t>O1333-12/IE00653/F0041/X125/R0106/001/MMO</t>
  </si>
  <si>
    <t>O1333-12/IE00571/F0041/X125/R0106/001/MMO</t>
  </si>
  <si>
    <t>O1333-13/IE00703/F0041/X125/R0106/001/MMO</t>
  </si>
  <si>
    <t>Ilembe Dis GG Selection (Transport)</t>
  </si>
  <si>
    <t>Ilembe Dis GG Selection (Apparel / Attire)</t>
  </si>
  <si>
    <t>O1333-13/IE00754/F0041/X125/R0106/001/MMO</t>
  </si>
  <si>
    <t>Provincial GG Selection (Transport)</t>
  </si>
  <si>
    <t>Provincial GG Selection (Accomodation)</t>
  </si>
  <si>
    <t>O1333-14/IE00703/F0041/X125/R0106/001/MMO</t>
  </si>
  <si>
    <t>O1333-14/IE00060/F0041/X125/R0106/001/MMO</t>
  </si>
  <si>
    <t>National GG Flights and Car Hire</t>
  </si>
  <si>
    <t>National GG (Accomodation)</t>
  </si>
  <si>
    <t>O1333-15/IE00060/F0041/X125/R0106/001/MMO</t>
  </si>
  <si>
    <t>O1333-15/IE01581/F0041/X125/R0106/001/MMO</t>
  </si>
  <si>
    <t>O1333-16/IE00677/F0041/X125/R0106/001/MMO</t>
  </si>
  <si>
    <t>O1333-16/IE00703/F0041/X125/R0106/001/MMO</t>
  </si>
  <si>
    <t>O1333-16/IE00667/F0041/X125/R0106/001/MMO</t>
  </si>
  <si>
    <t>O1333-16/IE00653/F0041/X125/R0106/001/MMO</t>
  </si>
  <si>
    <t xml:space="preserve">Young Local Artists Support and Workshop </t>
  </si>
  <si>
    <t xml:space="preserve">Faith based Youth Forum  </t>
  </si>
  <si>
    <t xml:space="preserve">Miss Heritage </t>
  </si>
  <si>
    <t>Youth Revolutionary Programmes</t>
  </si>
  <si>
    <t>Junior Council Launch</t>
  </si>
  <si>
    <t xml:space="preserve">Top Achievers Awards Ceremony </t>
  </si>
  <si>
    <t>Online CAO NSFAS Applications</t>
  </si>
  <si>
    <t>Youth Summit</t>
  </si>
  <si>
    <t>Exam Prayer, Life Coaching and Motivations</t>
  </si>
  <si>
    <t>Youth IDP</t>
  </si>
  <si>
    <t>Youth SMME Seminar</t>
  </si>
  <si>
    <t>Ilember Disability (Transport)</t>
  </si>
  <si>
    <t>O1333-17/IE00703/F0041/X125/R0106/001/MMO</t>
  </si>
  <si>
    <t>O1333-17/IE00754/F0041/X125/R0106/001/MMO</t>
  </si>
  <si>
    <t>O1333-18/IE00703/F0041/X125/R0106/001/MMO</t>
  </si>
  <si>
    <t>O1333-18/IE00060/F0041/X125/R0106/001/MMO</t>
  </si>
  <si>
    <t>Prov Disability Games (Accommodation)</t>
  </si>
  <si>
    <t>Ndwedwe Aerobics Marathon (Sound and Stage)</t>
  </si>
  <si>
    <t xml:space="preserve">Ndwedwe Aerobics Marathon (Refreshments) </t>
  </si>
  <si>
    <t>O1333-19/IE00677/F0041/X125/R0106/001/MMO</t>
  </si>
  <si>
    <t>O1333-19/IE00667/F0041/X125/R0106/001/MMO</t>
  </si>
  <si>
    <t>School Sport Competition Prizes</t>
  </si>
  <si>
    <t>O1333-20/IE00754/F0041/X125/R0106/001/MMO</t>
  </si>
  <si>
    <t xml:space="preserve">Ndwedwe Inter-Zonal Games </t>
  </si>
  <si>
    <t>Ndwedwe Ward Salga Games Soccer Kits, Netball Kits, Trophies For Netball, Soccer Balls, Netball Balls, Gold, Silver and Bronze Medals</t>
  </si>
  <si>
    <t>O1333-21/IE00754/F0041/X125/R0106/001/MMO</t>
  </si>
  <si>
    <t>O1333-22/IE00677/F0041/X125/R0106/001/MMO</t>
  </si>
  <si>
    <t>O1333-22/IE00703/F0041/X125/R0106/001/MMO</t>
  </si>
  <si>
    <t>O1333-22/IE00754/F0041/X125/R0106/001/MMO</t>
  </si>
  <si>
    <t>O1333-23/IE00677/F0041/X125/R0106/001/MMO</t>
  </si>
  <si>
    <t>O1333-23/IE00703/F0041/X125/R0106/001/MMO</t>
  </si>
  <si>
    <t>O1333-23/IE00571/F0041/X125/R0106/001/MMO</t>
  </si>
  <si>
    <t>O1333-23/IE00667/F0041/X125/R0106/001/MMO</t>
  </si>
  <si>
    <t>O1333-23/IE00653/F0041/X125/R0106/001/MMO</t>
  </si>
  <si>
    <t>O1333-23/IE00754/F0041/X125/R0106/001/MMO</t>
  </si>
  <si>
    <t>Ilember District  inter-Municipal SALGA DRS Games (Tracksuits for participants and Cllrs</t>
  </si>
  <si>
    <t xml:space="preserve">Ilembe District Inter-Municipal SALGA DRS Games </t>
  </si>
  <si>
    <t>O1333-24/IE00754/F0041/X125/R0106/001/MMO</t>
  </si>
  <si>
    <t>O1333-24/IE00703/F0041/X125/R0106/001/MMO</t>
  </si>
  <si>
    <t>O1333-24/IE00677/F0041/X125/R0106/001/MMO</t>
  </si>
  <si>
    <t xml:space="preserve">Ndwedwe Mayoral Cup Competition Transport </t>
  </si>
  <si>
    <t xml:space="preserve">Ndwedwe Mayoral Cup Competition Catering </t>
  </si>
  <si>
    <t xml:space="preserve">Ndwedwe Mayoral Cup Competition Sound System </t>
  </si>
  <si>
    <t>Ndwedwe Mayoral Cup Competition Mobile Ambulance</t>
  </si>
  <si>
    <t xml:space="preserve">Ndwedwe Mayoral Cup Competition Entertainment and Artists </t>
  </si>
  <si>
    <t xml:space="preserve">Ndwedwe Mayoral Cup Competition Apparel for Cllrs and Officials </t>
  </si>
  <si>
    <t xml:space="preserve">Ndwedwe Mayoral Cup Competition Media Coverage </t>
  </si>
  <si>
    <t>O1333-25/IE00677/F0041/X125/R0106/001/MMO</t>
  </si>
  <si>
    <t>Ndwedwe Mayoral Cup Competition Tent and Boxing Ring</t>
  </si>
  <si>
    <t>O1333-25/IE00703/F0041/X125/R0106/001/MMO</t>
  </si>
  <si>
    <t>O1333-25/IE00667/F0041/X125/R0106/001/MMO</t>
  </si>
  <si>
    <t>O1333-25/IE00653/F0041/X125/R0106/001/MMO</t>
  </si>
  <si>
    <t>O1333-25/IE00626/F0041/X125/R0106/001/MMO</t>
  </si>
  <si>
    <t>O1333-25/IE00754/F0041/X125/R0106/001/MMO</t>
  </si>
  <si>
    <t>O1333-25/IE00772/F0041/X125/R0106/001/MMO</t>
  </si>
  <si>
    <t>O1333-26/IE00703/F0041/X125/R0106/001/MMO</t>
  </si>
  <si>
    <t>O1333-26/IE00677/F0041/X125/R0106/001/MMO</t>
  </si>
  <si>
    <t>O1333-26/IE00847/F0041/X125/R0106/001/MMO</t>
  </si>
  <si>
    <t xml:space="preserve">Capacity Building Workshop (Accommodation) </t>
  </si>
  <si>
    <t>O1333-26/IE00060/F0041/X125/R0106/001/MMO</t>
  </si>
  <si>
    <t>O1444-4/IE00677/F0041/X045/R0106/001/MMO</t>
  </si>
  <si>
    <t>O1444-4/IE00667/F0041/X045/R0106/001/MMO</t>
  </si>
  <si>
    <t>O1444-4/IE00703/F0041/X045/R0106/001/MMO</t>
  </si>
  <si>
    <t>O1444-5/IE00677/F0041/X045/R0106/001/MMO</t>
  </si>
  <si>
    <t>O1444-5/IE00667/F0041/X045/R0106/001/MMO</t>
  </si>
  <si>
    <t>O1444-5/IE00703/F0041/X045/R0106/001/MMO</t>
  </si>
  <si>
    <t>O1444-5/IE00754/F0041/X045/R0106/001/MMO</t>
  </si>
  <si>
    <t>O1444-6/IE00677/F0041/X045/R0106/001/MMO</t>
  </si>
  <si>
    <t>O1444-6/IE00667/F0041/X045/R0106/001/MMO</t>
  </si>
  <si>
    <t>O1444-6/IE00703/F0041/X045/R0106/001/MMO</t>
  </si>
  <si>
    <t>O1444-7/IE00677/F0041/X045/R0106/001/MMO</t>
  </si>
  <si>
    <t>O1444-7/IE00703/F0041/X045/R0106/001/MMO</t>
  </si>
  <si>
    <t>O1444-7/IE00626/F0041/X045/R0106/001/MMO</t>
  </si>
  <si>
    <t>O1444-7/IE00667/F0041/X045/R0106/001/MMO</t>
  </si>
  <si>
    <t>O1444-8/IE00677/F0041/X045/R0106/001/MMO</t>
  </si>
  <si>
    <t>O1444-8/IE00703/F0041/X045/R0106/001/MMO</t>
  </si>
  <si>
    <t>O1444-8/IE00667/F0041/X045/R0106/001/MMO</t>
  </si>
  <si>
    <t>O1444-9/IE00677/F0041/X045/R0106/001/MMO</t>
  </si>
  <si>
    <t>O1444-9/IE00787/F0041/X045/R0106/001/MMO</t>
  </si>
  <si>
    <t>O1444-10/IE00677/F0041/X045/R0106/001/MMO</t>
  </si>
  <si>
    <t>O1444-10/IE00703/F0041/X045/R0106/001/MMO</t>
  </si>
  <si>
    <t>O1444-10/IE00754/F0041/X045/R0106/001/MMO</t>
  </si>
  <si>
    <t>O1444-11/IE00677/F0041/X045/R0106/001/MMO</t>
  </si>
  <si>
    <t>O1444-11/IE00667/F0041/X045/R0106/001/MMO</t>
  </si>
  <si>
    <t>O1444-11/IE00703/F0041/X045/R0106/001/MMO</t>
  </si>
  <si>
    <t>O1444-12/IE00677/F0041/X045/R0106/001/MMO</t>
  </si>
  <si>
    <t>O1444-12/IE00703/F0041/X045/R0106/001/MMO</t>
  </si>
  <si>
    <t>O1444-12/IE00667/F0041/X045/R0106/001/MMO</t>
  </si>
  <si>
    <t>O1444-12/IE00680/F0041/X045/R0106/001/MMO</t>
  </si>
  <si>
    <t>O1444-13/IE00677/F0041/X045/R0106/001/MMO</t>
  </si>
  <si>
    <t>Career Guidance and Career Expo (Catering)</t>
  </si>
  <si>
    <t>Career Guidance and Career Expo (Transport)</t>
  </si>
  <si>
    <t xml:space="preserve">Careers Giudance and Career Expo (Sound, Tent and Stage) </t>
  </si>
  <si>
    <t>O1444-13/IE00703/F0041/X045/R0106/001/MMO</t>
  </si>
  <si>
    <t>O1444-13/IE00667/F0041/X045/R0106/001/MMO</t>
  </si>
  <si>
    <t>Miss Heritage (Gifts Promotional Items)</t>
  </si>
  <si>
    <t>Miss Heritage (Sound and Stage)</t>
  </si>
  <si>
    <t>O1444-14/IE00677/F0041/X045/R0106/001/MMO</t>
  </si>
  <si>
    <t>O1444-14/IE00667/F0041/X045/R0106/001/MMO</t>
  </si>
  <si>
    <t>O1444-14/IE00754/F0041/X045/R0106/001/MMO</t>
  </si>
  <si>
    <t>O1444-14/IE00626/F0041/X045/R0106/001/MMO</t>
  </si>
  <si>
    <t>O1444-15/IE00677/F0041/X045/R0106/001/MMO</t>
  </si>
  <si>
    <t>O1444-15/IE00703/F0041/X045/R0106/001/MMO</t>
  </si>
  <si>
    <t>O1444-15/IE00667/F0041/X045/R0106/001/MMO</t>
  </si>
  <si>
    <t>O1444-16/IE00677/F0041/X045/R0106/001/MMO</t>
  </si>
  <si>
    <t>O1444-16/IE00703/F0041/X045/R0106/001/MMO</t>
  </si>
  <si>
    <t>O1444-16/IE00667/F0041/X045/R0106/001/MMO</t>
  </si>
  <si>
    <t>O1444-17/IE00677/F0041/X045/R0106/001/MMO</t>
  </si>
  <si>
    <t>Ndwedwe Boys Camp (Venue booking)</t>
  </si>
  <si>
    <t>Ndwedwe Boys Camp (Catering)</t>
  </si>
  <si>
    <t>Ndwedwe Boys Camp (Transport)</t>
  </si>
  <si>
    <t>Ndwedwe Boys Camp (Sound and Stage)</t>
  </si>
  <si>
    <t>Ndwedwe Boys Camp (Facilitators and Life Coaches)</t>
  </si>
  <si>
    <t>O1444-17/IE00703/F0041/X045/R0106/001/MMO</t>
  </si>
  <si>
    <t>O1444-17/IE00847/F0041/X045/R0106/001/MMO</t>
  </si>
  <si>
    <t>O1444-17/IE00667/F0041/X045/R0106/001/MMO</t>
  </si>
  <si>
    <t>O1444-17/IE00571/F0041/X045/R0106/001/MMO</t>
  </si>
  <si>
    <t>Isicathamiya (Gift and promotional Items)</t>
  </si>
  <si>
    <t>Seating Allowance for Traditional Leaders</t>
  </si>
  <si>
    <t>O0001/IE00592/F0041/X045/R0105/001/MMO</t>
  </si>
  <si>
    <t>Ward Committees (Diaries)</t>
  </si>
  <si>
    <t>O1358-3/IE00754/F0041/X045/R0106/001/MMO</t>
  </si>
  <si>
    <t>O1308-2/IE00754/F0041/X045/R0106/001/MMO</t>
  </si>
  <si>
    <t xml:space="preserve">Thumamina (Cleaning services) </t>
  </si>
  <si>
    <t>O1234-4/IE00534/F0041/X045/R0105/001/MMO</t>
  </si>
  <si>
    <t>O1235-5/IE00656/F0041/X045/R0105/001/MMO</t>
  </si>
  <si>
    <t>O1265-2/IE01321/F0041/X019/R0106/001/COMM</t>
  </si>
  <si>
    <t>Social Cohesion /Gender(Catering)</t>
  </si>
  <si>
    <t>Social Cohesion /Gender 	(Gift / promotional material)</t>
  </si>
  <si>
    <t>Social Cohesion /Gender 	(Tent )</t>
  </si>
  <si>
    <t>O1252-3/IE00677/F0041/X008/R0106/001/COMM</t>
  </si>
  <si>
    <t>Library Books</t>
  </si>
  <si>
    <t>O1252-3/IE00703/F0041/X008/R0106/001/COMM</t>
  </si>
  <si>
    <t>Social Cohesion /Gender (Transport)</t>
  </si>
  <si>
    <t>O1252-3/IE00667/F0041/X008/R0106/001/COMM</t>
  </si>
  <si>
    <t>Social Cohesion /Gender 	(Sound System and Stag)</t>
  </si>
  <si>
    <t>O1252-3/IE00754/F0041/X008/R0106/001/COMM</t>
  </si>
  <si>
    <t>O1252-3/IE00571/F0041/X008/R0106/001/COMM</t>
  </si>
  <si>
    <t xml:space="preserve">Social Cohesion/ Disability (Gift and Promotional Items) </t>
  </si>
  <si>
    <t>O1245-3/IE00677/F0041/X008/R0106/001/COMM</t>
  </si>
  <si>
    <t>O1245-3/IE00703/F0041/X008/R0106/001/COMM</t>
  </si>
  <si>
    <t>O1245-3/IE00847/F0041/X008/R0106/001/COMM</t>
  </si>
  <si>
    <t>O1245-3/IE00667/F0041/X008/R0106/001/COMM</t>
  </si>
  <si>
    <t>O1245-3/IE00754/F0041/X008/R0106/001/COMM</t>
  </si>
  <si>
    <t>O1242-4/IE00677/F0041/X008/R0106/001/COMM</t>
  </si>
  <si>
    <t>O1242-4/IE00703/F0041/X008/R0106/001/COMM</t>
  </si>
  <si>
    <t>O1242-4/IE00667/F0041/X008/R0106/001/COMM</t>
  </si>
  <si>
    <t>O1242-4/IE00604/F0041/X008/R0106/001/COMM</t>
  </si>
  <si>
    <t>O1242-4/IE00571/F0041/X008/R0106/001/COMM</t>
  </si>
  <si>
    <t xml:space="preserve">Social Cohesion/ Ingoma (Gift and Promotional Items) </t>
  </si>
  <si>
    <t>Social Cohesion/Orphans and Farm workers (Gift and Promotional material)</t>
  </si>
  <si>
    <t>O1308-3/IE00677/F0041/X008/R0106/001/COMM</t>
  </si>
  <si>
    <t>O1308-3/IE00703/F0041/X008/R0106/001/COMM</t>
  </si>
  <si>
    <t>O1308-3/IE00667/F0041/X008/R0106/001/COMM</t>
  </si>
  <si>
    <t>O1308-3/IE00754/F0041/X008/R0106/001/COMM</t>
  </si>
  <si>
    <t>O1308-3/IE00571/F0041/X008/R0106/001/COMM</t>
  </si>
  <si>
    <t>O1217-6/IE00677/F0041/X008/R0106/001/COMM</t>
  </si>
  <si>
    <t>O1217-6/IE00703/F0041/X008/R0106/001/COMM</t>
  </si>
  <si>
    <t>O1217-6/IE00667/F0041/X008/R0106/001/COMM</t>
  </si>
  <si>
    <t>O1217-6/IE00754/F0041/X008/R0106/001/COMM</t>
  </si>
  <si>
    <t>O1217-6/IE00571/F0041/X008/R0106/001/COMM</t>
  </si>
  <si>
    <t>O1248-1/IE00677/F0041/X008/R0106/001/COMM</t>
  </si>
  <si>
    <t>O1248-1/IE00703/F0041/X008/R0106/001/COMM</t>
  </si>
  <si>
    <t>O1248-1/IE00667/F0041/X008/R0106/001/COMM</t>
  </si>
  <si>
    <t>O1248-1/IE00754/F0041/X008/R0106/001/COMM</t>
  </si>
  <si>
    <t>Social Cohesion/Senior Citizens(Gifts and Promotional Items)</t>
  </si>
  <si>
    <t>O1248-1/IE00571/F0041/X008/R0106/001/COMM</t>
  </si>
  <si>
    <t>O1308-4/IE00677/F0041/X008/R0106/001/COMM</t>
  </si>
  <si>
    <t>O1308-4/IE00703/F0041/X008/R0106/001/COMM</t>
  </si>
  <si>
    <t>O1308-4/IE00667/F0041/X008/R0106/001/COMM</t>
  </si>
  <si>
    <t>O1308-4/IE00571/F0041/X008/R0106/001/COMM</t>
  </si>
  <si>
    <t>Social Cohesion/Umkhosi Wesintu (Gifts and Promotional Items)</t>
  </si>
  <si>
    <t>O1308-4/IE00754/F0041/X008/R0106/001/COMM</t>
  </si>
  <si>
    <t>O1308-4/IE00847/F0041/X008/R0106/001/COMM</t>
  </si>
  <si>
    <t>O1243-5/IE00677/F0041/X008/R0106/001/COMM</t>
  </si>
  <si>
    <t>O1243-5/IE00703/F0041/X008/R0106/001/COMM</t>
  </si>
  <si>
    <t>O1243-5/IE00667/F0041/X008/R0106/001/COMM</t>
  </si>
  <si>
    <t>Moral Regeneration (Sound and Stage Hire)</t>
  </si>
  <si>
    <t>Moral Regenaration (Tent, Chairs and Tables)</t>
  </si>
  <si>
    <t>Moral Regeneration  (Transportation)</t>
  </si>
  <si>
    <t xml:space="preserve">Moral Regeneration (Catering) </t>
  </si>
  <si>
    <t>O1243-5/IE00571/F0041/X008/R0106/001/COMM</t>
  </si>
  <si>
    <t>O1220-4/IE00677/F0041/X008/R0106/001/COMM</t>
  </si>
  <si>
    <t>HIV and AIDS Programmes (Catering)</t>
  </si>
  <si>
    <t>HIV and AIDS Programmes (Hire Charges Tent)</t>
  </si>
  <si>
    <t>HIV and AIDS Programmes (Sound system)</t>
  </si>
  <si>
    <t>HIV and AIDS Programmes (Transport)</t>
  </si>
  <si>
    <t>O1220-4/IE00703/F0041/X008/R0106/001/COMM</t>
  </si>
  <si>
    <t>O1220-4/IE00667/F0041/X008/R0106/001/COMM</t>
  </si>
  <si>
    <t>O1220-4/IE00571/F0041/X008/R0106/001/COMM</t>
  </si>
  <si>
    <t>O1247-1/IE00677/F0041/X008/R0106/001/COMM</t>
  </si>
  <si>
    <t>Civil Society Forums Advisory meeting (Catering)</t>
  </si>
  <si>
    <t>O1247-1/IE00754/F0041/X008/R0106/001/COMM</t>
  </si>
  <si>
    <t>Civil Society Forums Advisory meeting (Gifts and Promotional Items)</t>
  </si>
  <si>
    <t>O1235-6/IE00677/F0041/X008/R0106/001/COMM</t>
  </si>
  <si>
    <t>16 Days of Activism Programme (Catering)</t>
  </si>
  <si>
    <t>16 Days of Activism Programme (Tent )</t>
  </si>
  <si>
    <t>16 Days of Activism Programme (Sound and stage)</t>
  </si>
  <si>
    <t>16 Days of Activism Programme (Transport)</t>
  </si>
  <si>
    <t>O1235-6/IE00703/F0041/X008/R0106/001/COMM</t>
  </si>
  <si>
    <t>O1235-6/IE00667/F0041/X008/R0106/001/COMM</t>
  </si>
  <si>
    <t>O1235-6/IE00571/F0041/X008/R0106/001/COMM</t>
  </si>
  <si>
    <t>O1308-5/IE00677/F0041/X008/R0106/001/COMM</t>
  </si>
  <si>
    <t>O1308-5/IE00703/F0041/X008/R0106/001/COMM</t>
  </si>
  <si>
    <t>O1308-5/IE00754/F0041/X008/R0106/001/COMM</t>
  </si>
  <si>
    <t>Operation Sukuma Sakhe (Catering/Mbo/oss meetings)</t>
  </si>
  <si>
    <t>Operation Sukuma Sakhe(Transportation)</t>
  </si>
  <si>
    <t>Operation Sukuma Sakhe (Tent )</t>
  </si>
  <si>
    <t>O1243-6/IE00677/F0041/X008/R0106/001/COMM</t>
  </si>
  <si>
    <t>O1243-6/IE00703/F0041/X008/R0106/001/COMM</t>
  </si>
  <si>
    <t>O1243-6/IE00571/F0041/X008/R0106/001/COMM</t>
  </si>
  <si>
    <t>O0018-1/IE00649/F0041/X046/R0105/001/CORP</t>
  </si>
  <si>
    <t>O0018-1/IE00756/F0041/X046/R0105/001/CORP</t>
  </si>
  <si>
    <t>O0001/IE00792/F0041/X116/R0105/001/TECH</t>
  </si>
  <si>
    <t>D0001/IR01671/F0791/X099/R0105/001/TECH</t>
  </si>
  <si>
    <t>O0001/IE00059/F0041/X099/R0105/001/TECH</t>
  </si>
  <si>
    <t>O0001/IE00810/F0041/X099/R0105/001/TECH</t>
  </si>
  <si>
    <t>O0001/IE00144/F0041/X099/R0105/001/TECH</t>
  </si>
  <si>
    <t>O0001/IE01581/F0041/X099/R0105/001/TECH</t>
  </si>
  <si>
    <t>O0001/IE00060/F0041/X099/R0105/001/TECH</t>
  </si>
  <si>
    <t>O0001/IE00143/F0041/X099/R0105/001/TECH</t>
  </si>
  <si>
    <t>O0001/IE00677/F0041/X099/R0105/001/TECH</t>
  </si>
  <si>
    <t>O0001/IE00583/F0041/X024/R0105/001/COMM</t>
  </si>
  <si>
    <t>Employee Related Cost Cyber Cadet Library Grant (Salaries and Allowances) internal Funded Portion</t>
  </si>
  <si>
    <t>O0001/IE00036/F0041/X024/R0105/001/COMM</t>
  </si>
  <si>
    <t>O1255-1/IE00677/F0041/X024/R0106/001/COMM</t>
  </si>
  <si>
    <t>D0001/IR00992/F0930/X132/R0105/001/COMM</t>
  </si>
  <si>
    <t>O0001/IE00595/F0041/X006/R0105/001/COMM</t>
  </si>
  <si>
    <t xml:space="preserve">Computer Software, Programme and Licencing </t>
  </si>
  <si>
    <t>O1303-4/IE00844/F0041/X101/R0105/001/EDP</t>
  </si>
  <si>
    <t>Professional Fees (Land Use Management System/Sceam)</t>
  </si>
  <si>
    <t>Maintenance of Office Equipment (Small Tools)</t>
  </si>
  <si>
    <t>Business Plan Development 2021-2022</t>
  </si>
  <si>
    <t>Professional Fees (Infrastructure Assets Maintenance Plan)</t>
  </si>
  <si>
    <t>O1346-1/IE00847/F0041/X116/R0105/001/TECH</t>
  </si>
  <si>
    <t>Repairs and Maintenance (unplanned Maitenance)</t>
  </si>
  <si>
    <t>O1348-1/IE00080/F0041/X099/R0105/001/TECH</t>
  </si>
  <si>
    <t>O3523-2/IE00649/F0041/X116/R0105/001/TECH</t>
  </si>
  <si>
    <t>Repairs and Maintenance (Road Maintenance)</t>
  </si>
  <si>
    <t>Repairs and Maintenance (Local Sport facilities Grass Cutting )</t>
  </si>
  <si>
    <t>Repairs and Maintenance (Sport Field in Ward 10)</t>
  </si>
  <si>
    <t>O3259-1/IE00649/F0041/X116/R3702/001/TECH</t>
  </si>
  <si>
    <t>Repairs and Maintenance (Johnny Makhatini Ward 15)</t>
  </si>
  <si>
    <t>Repairs and Maintenance (Hall 1 (TBC)</t>
  </si>
  <si>
    <t>Repairs and Maintenance (Hall 2 (TBC)</t>
  </si>
  <si>
    <t>Repairs and Maintenance (Hall 3 (TBC)</t>
  </si>
  <si>
    <t>Repairs and Maintenance (Hall 4 (TBC)</t>
  </si>
  <si>
    <t>Repairs and Maintenance (Bhamshela Renovation)</t>
  </si>
  <si>
    <t>O3259-2/IE00649/F0041/X116/R3696/001/TECH</t>
  </si>
  <si>
    <t>O3259-3/IE00649/F0041/X116/R3707/001/TECH</t>
  </si>
  <si>
    <t>O3259-4/IE00649/F0041/X116/R3708/001/TECH</t>
  </si>
  <si>
    <t>O3259-5/IE00649/F0041/X116/R3709/001/TECH</t>
  </si>
  <si>
    <t>O0001/IE00756/F0041/X098/R0105/001/EDP</t>
  </si>
  <si>
    <t>EDP Uniform and Protective Clothing</t>
  </si>
  <si>
    <t>O0025-4/IE00086/F0041/X101/R0105/001/EDP</t>
  </si>
  <si>
    <t>O0025-5/IE00022/F0041/X101/R0105/001/EDP</t>
  </si>
  <si>
    <t xml:space="preserve">DPSS Shared Service </t>
  </si>
  <si>
    <t>O0024-2/IE00672/F0041/X101/R0105/001/EDP</t>
  </si>
  <si>
    <t>ESRISoftware maintenance</t>
  </si>
  <si>
    <t>O0001/IE00792/F0041/X101/R0105/001/EDP</t>
  </si>
  <si>
    <t>O1246-1/IE01321/F0041/X051/R0106/001/CORP</t>
  </si>
  <si>
    <t>O0001/IZ00041/F0001/X049/R0105/001/FIN</t>
  </si>
  <si>
    <t xml:space="preserve">Debt Impairment Provision </t>
  </si>
  <si>
    <t>O1333-6/IE00703/F0041/X125/R0106/001/MMO</t>
  </si>
  <si>
    <t>O1354-2/IE00677/F0041/X098/R0106/001/EDP</t>
  </si>
  <si>
    <t>O3583-1/IE00025/F0041/X101/R0105/001/EDP</t>
  </si>
  <si>
    <t>O1279-1/IE00604/F0041/X116/R0106/001/TECH</t>
  </si>
  <si>
    <t>EPWP Uniform and Protective Clothing</t>
  </si>
  <si>
    <t>O1231-1/IE00672/F1177/X049/R0106/001/FIN</t>
  </si>
  <si>
    <t>O0001/IE00792/F1177/X049/R0105/001/FIN</t>
  </si>
  <si>
    <t>O0001/IE00110/F0041/X049/R0105/001/FIN</t>
  </si>
  <si>
    <t>Professional Fees (Asset Verification Projects)</t>
  </si>
  <si>
    <t>O0022-1/IE00835/F1177/X049/R0106/001/FIN</t>
  </si>
  <si>
    <t>O0001/IE00685/F1177/X049/R0106/001/FIN</t>
  </si>
  <si>
    <t>Internal Audit Fees</t>
  </si>
  <si>
    <t>O1232-7/IE01581/F1177/X049/R0106/001/FIN</t>
  </si>
  <si>
    <t>O1232-10/IE00059/F1177/X049/R0105/001/FIN</t>
  </si>
  <si>
    <t>O1232-7/IE00060/F1177/X049/R0105/001/FIN</t>
  </si>
  <si>
    <t>O0001/IE00584/F1177/X049/R0106/001/FIN</t>
  </si>
  <si>
    <t xml:space="preserve">Municipal Security services </t>
  </si>
  <si>
    <t>O0001/IE00698/F2495/X046/R0106/001/CORP</t>
  </si>
  <si>
    <t xml:space="preserve">Municipal Electricity and Water </t>
  </si>
  <si>
    <t>O0001/IE00579/F2495/X046/R0106/001/CORP</t>
  </si>
  <si>
    <t>O0001/IE00769/F2495/X046/R0106/001/CORP</t>
  </si>
  <si>
    <t>Consultation Changes</t>
  </si>
  <si>
    <t>2020/2021 Final Budget</t>
  </si>
  <si>
    <t>Repairs and Maintenance (Wewe Hall)</t>
  </si>
  <si>
    <t>Type 2 Electrification (Ward 1-19)</t>
  </si>
  <si>
    <t>Municipal Disaster Relief Grant</t>
  </si>
  <si>
    <t>Total Transfers and Subsidies</t>
  </si>
  <si>
    <t>Disaster Management  (Emergency Relief Grant Funding)</t>
  </si>
  <si>
    <t>GRAND TOTAL EXPENDITURE (DISASTER MANAGEMENT)</t>
  </si>
  <si>
    <t>Schemes Support Programme</t>
  </si>
  <si>
    <t>D0001/IR006972/F13636/X096/R0105/001/MMO</t>
  </si>
  <si>
    <t>O0022-7/IE00847/F13636/X096/R0105/001/MMO</t>
  </si>
  <si>
    <t>Ward Based Plan Grant</t>
  </si>
  <si>
    <t>D0001/IR006973/F13637/X045/R0105/001/MMO</t>
  </si>
  <si>
    <t>Schemes Support Programme Grant</t>
  </si>
  <si>
    <t>O1265-5/IE01321/F1180/X019/R0106/001/COMM</t>
  </si>
  <si>
    <t>D0001/IR02321/F1180/X019/R0106/001/COMM</t>
  </si>
  <si>
    <t>O3259-6/IE00649/F0041/X116/R3709/001/TECH</t>
  </si>
  <si>
    <t>O1370-3/IE01320/F0041/X116/R3713/001/TECH</t>
  </si>
  <si>
    <t>Electrification of Households in Ward 08) Mchathu</t>
  </si>
  <si>
    <t>O1370-9/IE01320/F0041/X116/R0106/001/TECH</t>
  </si>
  <si>
    <t>O0022-8/IE00847/F13638/X045/R0105/001/MMO</t>
  </si>
  <si>
    <t>O0001/IE00792/F0041/X063/R0105/001/CORP</t>
  </si>
  <si>
    <t>O0001/IE00784/F0041/X063/R0105/001/CORP</t>
  </si>
  <si>
    <t>O1561-3/IE00793/F0041/X063/R0105/001/CORP</t>
  </si>
  <si>
    <t>O2774-1/IE00649/F0041/X063/R0105/001/CORP</t>
  </si>
  <si>
    <t>O0018-1/IE00016/F0041/X063/R0105/001/CORP</t>
  </si>
  <si>
    <t>O0029-3/IE00016/F0041/X063/R0105/001/CORP</t>
  </si>
  <si>
    <t>O0018-2/IE00844/F0041/X063/R0105/001/CORP</t>
  </si>
  <si>
    <t>O1562-4/IE00650/F0041/X052/R0105/001/CORP</t>
  </si>
  <si>
    <t>O0016-3/IE00754/F0041/X062/R0105/001/CORP</t>
  </si>
  <si>
    <t>O0001/IE00841/F0041/X062/R0105/001/CORP</t>
  </si>
  <si>
    <t>O0001/IE00692/F0041/X062/R0105/001/CORP</t>
  </si>
  <si>
    <t>O0001/IE00677/F0041/X062/R0105/001/CORP</t>
  </si>
  <si>
    <t>O0001/IE00142/F0041/X062/R0105/001/CORP</t>
  </si>
  <si>
    <t>O0001/IE00063/F0041/X062/R0105/001/CORP</t>
  </si>
  <si>
    <t>O0001/IE00751/F0041/X062/R0105/001/CORP</t>
  </si>
  <si>
    <t>O0016-3/IE00060/F0041/X062/R0105/001/CORP</t>
  </si>
  <si>
    <t>O0016-3/IE00677/F0041/X062/R0105/001/CORP</t>
  </si>
  <si>
    <t>O0018-1/IE00835/F0041/X062/R0105/001/CORP</t>
  </si>
  <si>
    <t>O0018-1/IE00635/F0041/X062/R0105/001/CORP</t>
  </si>
  <si>
    <t>O1300-2/IE01581/F0041/X062/R0105/001/CORP</t>
  </si>
  <si>
    <t>O1300-2/IE00060/F0041/X062/R0105/001/CORP</t>
  </si>
  <si>
    <t>O1300-2/IE00810/F0041/X062/R0105/001/CORP</t>
  </si>
  <si>
    <t>O1300-2/IE00144/F0041/X062/R0105/001/CORP</t>
  </si>
  <si>
    <t>O1300-2/IE01583/F0041/X062/R0105/001/CORP</t>
  </si>
  <si>
    <t>O1300-2/IE00143/F0041/X062/R0105/001/CORP</t>
  </si>
  <si>
    <t>O1300-2/IE00063/F0041/X062/R0105/001/CORP</t>
  </si>
  <si>
    <t>O1232-8/IE00703/F0041/X062/R0105/001/CORP</t>
  </si>
  <si>
    <t>O1232-8/IE00060/F0041/X062/R0105/001/CORP</t>
  </si>
  <si>
    <t>O1232-8/IE00677/F0041/X062/R0105/001/CORP</t>
  </si>
  <si>
    <t>O1232-8/IE00019/F0041/X062/R0105/001/CORP</t>
  </si>
  <si>
    <t>O0001/IE00584/F0041/X062/R0105/001/CORP</t>
  </si>
  <si>
    <t>O0001/IE00609/F0041/X062/R0105/001/CORP</t>
  </si>
  <si>
    <t>O0001/IE00605/F0041/X046/R0106/001/CORP</t>
  </si>
  <si>
    <t>O0001/IE00583/F0041/X049/R0105/001/FINA</t>
  </si>
  <si>
    <t>O0001/IE00595/F0041/X049/R0105/001/FINA</t>
  </si>
  <si>
    <t>Subsistence, Travelling &amp;Accommodation (Car hire- without operator)</t>
  </si>
  <si>
    <t>IDP Programme (Entertainment)</t>
  </si>
  <si>
    <t>Professional Fees (Employee Wellness)</t>
  </si>
  <si>
    <t>Professional Fees(LED Strategy,Agricultural plan,SDF and Housing Sector Plan</t>
  </si>
  <si>
    <t>Recruitme (Vetting)</t>
  </si>
  <si>
    <t>Recruitment (Catering)</t>
  </si>
  <si>
    <t>Recruitment (Medical  Examination)</t>
  </si>
  <si>
    <t>Recruitment (Relocation )</t>
  </si>
  <si>
    <t>Recruitment (S &amp; T)</t>
  </si>
  <si>
    <t>Adjustments</t>
  </si>
  <si>
    <t>O1264-9/IE00655/F0041/X106/R0106/001/COMM</t>
  </si>
  <si>
    <t>Sanitisation of Community Spaces Covid 19 Respond</t>
  </si>
  <si>
    <t>O1264-10/IE00036/F0041/X019/R0106/001/COMM</t>
  </si>
  <si>
    <t>O1264-11/IE00847/F0041/X019/R0106/001/COMM</t>
  </si>
  <si>
    <t>O1264-16/IE00675/F0041/X016/R0106/001/COMM</t>
  </si>
  <si>
    <t>Employees Related Cost ( Hiring of Youth on Contract Basis)</t>
  </si>
  <si>
    <t>Training of Youth for Covid 19 Programmes Covid 19 Respond</t>
  </si>
  <si>
    <t>Burial Assistance Covid 19 Respond</t>
  </si>
  <si>
    <t>O1264-14/IE00008/F0041/X053/R0105/001/CORP</t>
  </si>
  <si>
    <t>Litigation's Covid 19 Respond</t>
  </si>
  <si>
    <t>O1264-13/IE00739/F0041/X046/R0105/001/CORP</t>
  </si>
  <si>
    <t>Staff PPE Covid 19 Respond</t>
  </si>
  <si>
    <t>O1264-15/IE00678/F0041/X046/R0105/001/CORP</t>
  </si>
  <si>
    <t>Sanitisation of office building Covid 19 Respond</t>
  </si>
  <si>
    <t>O1264-20/IE00419-1/F0041/X098/R0106/001/EDP</t>
  </si>
  <si>
    <t>Cooperatives Development Covid 19 Respond</t>
  </si>
  <si>
    <t>O1264-23/IE01312/F0041/X008/R0106/001/COMM</t>
  </si>
  <si>
    <t>Dress a Child Covid 19 Respond</t>
  </si>
  <si>
    <t>O1264-22/IE00847/F0041/X045/R0106/001/MMO</t>
  </si>
  <si>
    <t>Ward Committee Training Covid 19 Respond</t>
  </si>
  <si>
    <t>O1264-18/IE00755/F0041/X045/R0106/001/MMO</t>
  </si>
  <si>
    <t>Community and Awareness Campaigns Covid 19 Respond</t>
  </si>
  <si>
    <t>O1264-19/IE01321/F0041/X045/R0106/001/MMO</t>
  </si>
  <si>
    <t>Feeding of Homeless/ Food Distribution Covid 19 Respond</t>
  </si>
  <si>
    <t>Roads maintenance Covid 19 Respond</t>
  </si>
  <si>
    <t>NEW</t>
  </si>
  <si>
    <t>O0016-1/IE00534/F0041/X049/R0106/001/FIN</t>
  </si>
  <si>
    <t>O0001/IE00555/F0041/X051/R0105/001/CORP</t>
  </si>
  <si>
    <t>O1300-2/IE00061/F0041/X062/R0105/001/CORP</t>
  </si>
  <si>
    <t>O1299-4/IE00754/F0041/X051/R0105/001/CORP</t>
  </si>
  <si>
    <t>O0001/IE00595/F0041/X051/R0105/001/CORP</t>
  </si>
  <si>
    <t>O1299-4/IE00677/F0041/X051/R0105/001/CORP</t>
  </si>
  <si>
    <t>O1299-4/IE00847/F0041/X051/R0105/001/CORP</t>
  </si>
  <si>
    <t>O1244-1/IE00604/F0041/X098/R0105/001/EDP</t>
  </si>
  <si>
    <t>Municipal Running Cost/Air Transport/Equitable Share/Project Management Unit/Administrative or Head O/Default/Technical Services</t>
  </si>
  <si>
    <t>Municipal Running Cost/Accommodation/Equitable Share/Project Management Unit/Administrative or Head O/Default/Technical Services</t>
  </si>
  <si>
    <t>O1333-3/IE00571/F0041/X125/R0106/001/MMO</t>
  </si>
  <si>
    <t>2020/2021 First Adjusted Budget</t>
  </si>
  <si>
    <t>2020/2021 Second Adjusted Budget</t>
  </si>
  <si>
    <t>D0001/IR01493/F0001/X049/R0105/001/FIN</t>
  </si>
  <si>
    <t>Default Transactions/Public Service Infrastru/Non-funding Transactions/Finance/Administrative or Head O/Default/FINANCE</t>
  </si>
  <si>
    <t>Municipal Running Cost/Municipal Offices/Non-funding Transactions/Property Services/Whole of the Municipalit/Default/FINANCE</t>
  </si>
  <si>
    <t>O0001/IE00042/F0041/X049/R0105/001/FIN</t>
  </si>
  <si>
    <t>Group Life Insurance</t>
  </si>
  <si>
    <t>O0001/IE00584/F0041/X046/R0106/001/CORP</t>
  </si>
  <si>
    <t>O0001/IE00016/F0041/X098/R0106/001/EDP</t>
  </si>
  <si>
    <t>Membership Fee</t>
  </si>
  <si>
    <t>O0001/IE00060/F0041/X098/R0105/001/EDP</t>
  </si>
  <si>
    <t>O0001/IE00144/F0041/X098/R0105/001/EDP</t>
  </si>
  <si>
    <t>O0001/IE00595/F0041/X116/R0105/001/TECH</t>
  </si>
  <si>
    <t>Skills Development Levies (Skills Development levies)</t>
  </si>
  <si>
    <t>Professional Fees PMS /Job Evaluation</t>
  </si>
  <si>
    <t>Accommodation (Car hire- without operator)</t>
  </si>
  <si>
    <t>Professional Fees (Epms) and Developing Technical Descriptive Indicators (TDI's) for PMS</t>
  </si>
  <si>
    <t>O1234-2/IE00604/F0041/X006/R0106/001/COMM</t>
  </si>
  <si>
    <t>Disaster Management (Uniform )</t>
  </si>
  <si>
    <t>O1299-4/IE00703/F0041/X051/R0105/001/CORP</t>
  </si>
  <si>
    <t>O1562-5/IE00650/F0041/X116/R0105/001/TECH</t>
  </si>
  <si>
    <t>O1300-3/IE00840/F0041/X051/R0105/001/CORP</t>
  </si>
  <si>
    <t>O0001/IE00143/F0041/X098/R0105/001/EDP</t>
  </si>
  <si>
    <t>O0001/IE01581/F0041/X098/R0105/001/EDP</t>
  </si>
  <si>
    <t>O1333-7/IE00571/F0041/X125/R0106/001/MMO</t>
  </si>
  <si>
    <t>O0001/IE07625/F0001/X049/R0106/001/FIN</t>
  </si>
  <si>
    <t>2021/2022 DRAFT BUDGET (BUDGET AND TREASURY OFFICE)</t>
  </si>
  <si>
    <t>2021/2022 DRAFT BUDGET  (MUNICIPAL MANAGER)</t>
  </si>
  <si>
    <t>2021/2022 DRAFT BUDGET (COMMUNITY SERVICES)</t>
  </si>
  <si>
    <t>2021/2022 DRAFT BUDGET (CORPORATE SERVICES)</t>
  </si>
  <si>
    <t>2021/2022 DRAFT BUDGET (EXECUTIVE COUNCIL)</t>
  </si>
  <si>
    <t>2021/2022 DARFT BUDGET (ECONOMIC DEVELOPMENT AND PLANNING)</t>
  </si>
  <si>
    <t>2021/2021 DRAFT BUDGET (TECHNICAL SERVICES)</t>
  </si>
  <si>
    <t>2021/2022 DRAFT BUDGET SUMMARY</t>
  </si>
  <si>
    <t>2021/2022 Draft Budget</t>
  </si>
  <si>
    <t>2022/2023 Outer Year One</t>
  </si>
  <si>
    <t>2023/2024 Outer Year Two</t>
  </si>
  <si>
    <t>O0025-2/IE00025/F0041/X098/R0105/001/EDP</t>
  </si>
  <si>
    <t>Ndwedwe Town Development  (Survey)</t>
  </si>
  <si>
    <t>Bhamshela town development phase 2</t>
  </si>
  <si>
    <t>SMME Equipment /tools</t>
  </si>
  <si>
    <t xml:space="preserve">FARMERS MARKET DAY </t>
  </si>
  <si>
    <t>GIS Aerial Projects</t>
  </si>
  <si>
    <t>O1354-2/IE00583/F0041/X098/R0106/001/EDP</t>
  </si>
  <si>
    <t>Tourisim development  (Tourism guide(booklet)</t>
  </si>
  <si>
    <t>O0001/IE00142/F0041/X098/R0105/001/EDP</t>
  </si>
  <si>
    <t>O0001/IE00062/F0041/X098/R0105/001/EDP</t>
  </si>
  <si>
    <t>O0001/IE00063/F0041/X098/R0105/001/EDP</t>
  </si>
  <si>
    <t>Subsistence,Travelling &amp; Accomomdation (Flights)</t>
  </si>
  <si>
    <t>Subsistence,Travelling &amp; Accomodation (Food &amp; Beverages)</t>
  </si>
  <si>
    <t>Professional Fees (Development of GIS Datasets for IDP)</t>
  </si>
  <si>
    <t>Professional Fees (Development of 5TH Generation IDP)</t>
  </si>
  <si>
    <t>Completion of Type 3 Electrification (Ward 1, 4, 16)</t>
  </si>
  <si>
    <t>Feasibility Study: Cemetries.</t>
  </si>
  <si>
    <t>Indigent Policy and Register Alignment and Review</t>
  </si>
  <si>
    <t>Risk  Management Professional Fees</t>
  </si>
  <si>
    <t>Membership Fees (IIASA)</t>
  </si>
  <si>
    <t>Membership Fees (IRMSA)</t>
  </si>
  <si>
    <t>Membership Fees (ILGM)</t>
  </si>
  <si>
    <t xml:space="preserve">Mandela Program </t>
  </si>
  <si>
    <t xml:space="preserve">Catering </t>
  </si>
  <si>
    <t xml:space="preserve">Promotional meterial and Gifts </t>
  </si>
  <si>
    <t>Painting accessories, Nails and Cleaning meterial</t>
  </si>
  <si>
    <t xml:space="preserve">Capacitity building and training for vulnerable groups on skills development </t>
  </si>
  <si>
    <t>Training and Development</t>
  </si>
  <si>
    <t xml:space="preserve">Women in Sport Symposium </t>
  </si>
  <si>
    <t>Women in Sport Symposium (Catering)</t>
  </si>
  <si>
    <t>Women in Sport Symposium (Sound and Stage))</t>
  </si>
  <si>
    <t>Women in Sport Symposium (Transport)</t>
  </si>
  <si>
    <t>Women in Sport Symposium (Promotional Items)</t>
  </si>
  <si>
    <t>ECD Sport Development Programme</t>
  </si>
  <si>
    <t xml:space="preserve">ECD Sport Development Programme (Refreshments) </t>
  </si>
  <si>
    <t>ECD Sport Development Programme(Sound)</t>
  </si>
  <si>
    <t>ECD Sport Development Programme(Transport)</t>
  </si>
  <si>
    <t>ECD Sport Development Programme (Promotional Items)</t>
  </si>
  <si>
    <t>Ndwedwe Rural Horse Racing</t>
  </si>
  <si>
    <t>Ndwedwe Rural Horse Racing(Catering)</t>
  </si>
  <si>
    <t>Ndwedwe Rural Horse Racing(Sound&amp;Stage)</t>
  </si>
  <si>
    <t>Ndwedwe Rural Horse Racing(Transport)</t>
  </si>
  <si>
    <t>Ndwedwe Rural Horse Racing(Trailer Hire)</t>
  </si>
  <si>
    <t>Ndwedwe Rural Horse Racing(Promotional Items &amp;Gifts)</t>
  </si>
  <si>
    <t>Ndwedwe Sport Awards</t>
  </si>
  <si>
    <t>Ndwedwe Sport Awards(Catering)</t>
  </si>
  <si>
    <t>Ndwedwe Sport Awards(Transport)</t>
  </si>
  <si>
    <t>Ndwedwe Sport Awards(Sound&amp;Stage)</t>
  </si>
  <si>
    <t>Ndwedwe Sport Awards(Promotional Iterms &amp; Gifts)</t>
  </si>
  <si>
    <t>Ndwedwe Sport Awards (Entertainment)</t>
  </si>
  <si>
    <t>Youth SMME Support and Business Registration</t>
  </si>
  <si>
    <t xml:space="preserve">Youth Summit (Promotional Items) </t>
  </si>
  <si>
    <t xml:space="preserve">Youth Revolutionary Programmes (Promotional Items) </t>
  </si>
  <si>
    <r>
      <rPr>
        <b/>
        <sz val="10"/>
        <rFont val="Times New Roman"/>
        <family val="1"/>
      </rPr>
      <t>Ndwedwe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Youth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Artizens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Training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Programme(Skills)</t>
    </r>
  </si>
  <si>
    <t>Young Women Empowerment Seminar</t>
  </si>
  <si>
    <t>Young Women Empowerment Seminar(Catering)</t>
  </si>
  <si>
    <t>Young Women Empowerment Seminar(Venue)</t>
  </si>
  <si>
    <t xml:space="preserve">Young Women Empowerment Seminar(Facilitator) </t>
  </si>
  <si>
    <r>
      <rPr>
        <b/>
        <sz val="10"/>
        <rFont val="Times New Roman"/>
        <family val="1"/>
      </rPr>
      <t>Ndwedwe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Youth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Council</t>
    </r>
    <r>
      <rPr>
        <sz val="10"/>
        <rFont val="Times New Roman"/>
        <family val="1"/>
      </rPr>
      <t xml:space="preserve"> </t>
    </r>
    <r>
      <rPr>
        <b/>
        <sz val="10"/>
        <rFont val="Times New Roman"/>
        <family val="1"/>
      </rPr>
      <t>Meeting</t>
    </r>
    <r>
      <rPr>
        <sz val="10"/>
        <rFont val="Times New Roman"/>
        <family val="1"/>
      </rPr>
      <t xml:space="preserve"> </t>
    </r>
  </si>
  <si>
    <t xml:space="preserve">Ndwedwe Youth Council Meeting  (Catering) </t>
  </si>
  <si>
    <t>Ndwedwe Youth Council Meeting (Venue)</t>
  </si>
  <si>
    <t>Young People in Arts (Traditional Arts)</t>
  </si>
  <si>
    <t xml:space="preserve">Young People in Arts (Traditional Arts) - Catering </t>
  </si>
  <si>
    <t>Young People in Arts (Traditional Arts) - Transport</t>
  </si>
  <si>
    <t>Young People in Arts(Traditional Art) - Sound</t>
  </si>
  <si>
    <t>Young People in Arts (Traditional Art) - Facilitator</t>
  </si>
  <si>
    <t>Young Local Artist Support and Workshop (Facilitators)</t>
  </si>
  <si>
    <t>Ndwedwe Boys Camp (Promotional Items &amp; Gifts)</t>
  </si>
  <si>
    <t>Professional Fees ( Development of Annual Report)</t>
  </si>
  <si>
    <t>INTERNAL AUDIT, RISK AND COMPLIANCE</t>
  </si>
  <si>
    <t>TOTAL INTERNAL AUDIT, RISK AND COMPLIANCE</t>
  </si>
  <si>
    <t>TOTAL LEGAL SERVICES</t>
  </si>
  <si>
    <t>Ward Committees Quortely meetings</t>
  </si>
  <si>
    <t>Ward Committees Quorteloy meeting (Transport)</t>
  </si>
  <si>
    <t xml:space="preserve">Ward Committees Quortely meeting (sound sytem) </t>
  </si>
  <si>
    <t>Ward Committees Quortely meeting ( tables &amp; Décor)</t>
  </si>
  <si>
    <t>ID Campaign</t>
  </si>
  <si>
    <t>ID Campaign (Hire tent)</t>
  </si>
  <si>
    <t>ID Campaign (transport)</t>
  </si>
  <si>
    <t>ID Campaign (catering)</t>
  </si>
  <si>
    <t xml:space="preserve">Publuc Participation Strategy </t>
  </si>
  <si>
    <t xml:space="preserve">Public Participation  loud-hailers &amp; Benners </t>
  </si>
  <si>
    <t>Municipal Rapid Response</t>
  </si>
  <si>
    <t>Ward Committees Quortely meeting (catering)</t>
  </si>
  <si>
    <t>Special Events Coordination Consultancy Fees</t>
  </si>
  <si>
    <t>Construction Materials</t>
  </si>
  <si>
    <t>Business Plan : Buy Back Centre</t>
  </si>
  <si>
    <t>Professional Fees (Broadband Infrastructure)</t>
  </si>
  <si>
    <t>Plastic Bags</t>
  </si>
  <si>
    <t>Ndwedwe Youth Artisans (Tuition Fees)</t>
  </si>
  <si>
    <t>D0001/IR01451/F0045/X049/R0105/001/FIN</t>
  </si>
  <si>
    <t>D0001/IR01481/F2496/X049/R0105/001/FIN</t>
  </si>
  <si>
    <t>D0001/IR007148/F2496/X049/R0105/001/FIN</t>
  </si>
  <si>
    <t>D0001/IR007146/F2496/X049/R0106/001/FIN</t>
  </si>
  <si>
    <t>O1243-7/IE00677/F0041/X008/R0106/001/COMM</t>
  </si>
  <si>
    <t>O1243-7/IE00754/F0041/X008/R0106/001/COMM</t>
  </si>
  <si>
    <t>O1243-7/IE00534/F0041/X008/R0106/001/COMM</t>
  </si>
  <si>
    <t>O1246-2/IE00847/F0041/X008/R0106/001/COMM</t>
  </si>
  <si>
    <t>O1234-1/IE00738/F0041/X132/R0106/001/COMM</t>
  </si>
  <si>
    <t>O1234-1/IE00847/F0041/X004/R0106/001/COMM</t>
  </si>
  <si>
    <t>O1218-1/IE00571/F0041/X098/R0106/001/EDP</t>
  </si>
  <si>
    <t>O1218-1/IE00677/F0041/X098/R0106/001/EDP</t>
  </si>
  <si>
    <t>O1218-1/IE00703/F0041/X098/R0106/001/EDP</t>
  </si>
  <si>
    <t>O1218-1/IE00667/F0041/X098/R0106/001/EDP</t>
  </si>
  <si>
    <t>Farmers Market Day (Tent/marquee)</t>
  </si>
  <si>
    <t>Farmers Market Day (Catering)</t>
  </si>
  <si>
    <t>Farmers Market Day (Transport)</t>
  </si>
  <si>
    <t>Farmers Market Day (Sound System)</t>
  </si>
  <si>
    <t>O0001/IE00534/F0041/X116/R0106/001/TECH</t>
  </si>
  <si>
    <t>O0001/IE00694/F0041/X096/R0106/001/MMO</t>
  </si>
  <si>
    <t>O0001/IE00847/F0041/X096/R0106/001/MMO</t>
  </si>
  <si>
    <t>O0001/IE00847/F0041/X096/R3696/001/MMO</t>
  </si>
  <si>
    <t>O1333-15/IE00703/F0041/X125/R0106/001/MMO</t>
  </si>
  <si>
    <t>O1293-5/IE00632/F0041/X125/R0106/001/MMO</t>
  </si>
  <si>
    <t>O1293-5/IE00667/F0041/X125/R0106/001/MMO</t>
  </si>
  <si>
    <t>O1293-5/IE00671/F0041/X125/R0106/001/MMO</t>
  </si>
  <si>
    <t>O1293-5/IE00754/F0041/X125/R0106/001/MMO</t>
  </si>
  <si>
    <t>O1293-6/IE00677/F0041/X125/R0106/001/MMO</t>
  </si>
  <si>
    <t>O1293-6/IE00667/F0041/X125/R0106/001/MMO</t>
  </si>
  <si>
    <t>O1293-6/IE00703/F0041/X125/R0106/001/MMO</t>
  </si>
  <si>
    <t>O1293-6/IE00754/F0041/X125/R0106/001/MMO</t>
  </si>
  <si>
    <t>O1293-7/IE00677/F0041/X125/R0106/001/MMO</t>
  </si>
  <si>
    <t>O1293-7/IE00667/F0041/X125/R0106/001/MMO</t>
  </si>
  <si>
    <t>O1293-7/IE00703/F0041/X125/R0106/001/MMO</t>
  </si>
  <si>
    <t>O1293-7/IE00571/F0041/X125/R0106/001/MMO</t>
  </si>
  <si>
    <t>O1293-7/IE00754/F0041/X125/R0106/001/MMO</t>
  </si>
  <si>
    <t>O1293-8/IE00677/F0041/X125/R0106/001/MMO</t>
  </si>
  <si>
    <t>O1444-8/IE00754/F0041/X045/R0106/001/MMO</t>
  </si>
  <si>
    <t>O1444-10/IE00667/F0041/X045/R0106/001/MMO</t>
  </si>
  <si>
    <t>O1444-16/IE00847/F0041/X045/R0106/001/MMO</t>
  </si>
  <si>
    <t>O1444-17/IE00754/F0041/X045/R0106/001/MMO</t>
  </si>
  <si>
    <t>O1293-9/IE00750/F0041/X045/R0106/001/MMO</t>
  </si>
  <si>
    <t>O1293-10/IE00677/F0041/X045/R0106/001/MMO</t>
  </si>
  <si>
    <t>O1293-10/IE00571/F0041/X045/R0106/001/MMO</t>
  </si>
  <si>
    <t>O1293-10/IE00847/F0041/X045/R0106/001/MMO</t>
  </si>
  <si>
    <t>O1293-11/IE00677/F0041/X045/R0106/001/MMO</t>
  </si>
  <si>
    <t>O1293-11/IE00703/F0041/X045/R0106/001/MMO</t>
  </si>
  <si>
    <t>O1293-11/IE00667/F0041/X045/R0106/001/MMO</t>
  </si>
  <si>
    <t>O1293-11/IE00847/F0041/X045/R0106/001/MMO</t>
  </si>
  <si>
    <t>O1293-12/IE00571/F0041/X045/R0106/001/MMO</t>
  </si>
  <si>
    <t>O1293-12/IE00677/F0041/X045/R0106/001/MMO</t>
  </si>
  <si>
    <t>O1358-4/IE00632/F0041/X045/R0106/001/MMO</t>
  </si>
  <si>
    <t>O1358-4/IE00671/F0041/X045/R0106/001/MMO</t>
  </si>
  <si>
    <t>O1358-4/IE00628/F0041/X045/R0106/001/MMO</t>
  </si>
  <si>
    <t>O1358-4/IE00571/F0041/X045/R0106/001/MMO</t>
  </si>
  <si>
    <t>O0006-3/IE00571/F0041/X045/R0106/001/MMO</t>
  </si>
  <si>
    <t>O0006-3/IE00671/F0041/X045/R0106/001/MMO</t>
  </si>
  <si>
    <t>O0006-3/IE00632/F0041/X045/R0106/001/MMO</t>
  </si>
  <si>
    <t>O1235-7/IE00847/F0041/X045/R0106/001/MMO</t>
  </si>
  <si>
    <t>O1235-7/IE00756/F0041/X045/R0106/001/MMO</t>
  </si>
  <si>
    <t>O1235-7/IE00694/F0041/X045/R0106/001/MMO</t>
  </si>
  <si>
    <t>O1350-1/IE00567/F0041/X045/R0106/001/MMO</t>
  </si>
  <si>
    <t>O1350-1/IE00685/F0041/X045/R0106/001/MMO</t>
  </si>
  <si>
    <t>O1350-1/IE00584/F0041/X045/R0106/001/MMO</t>
  </si>
  <si>
    <t>O1350-1/IE00059/F0041/X045/R0106/001/MMO</t>
  </si>
  <si>
    <t>O0001/IE00008/F0041/X045/R0106/001/MMO</t>
  </si>
  <si>
    <t>O1293-8/IE00703/F0041/X125/R0106/001/MMO</t>
  </si>
  <si>
    <t>O1293-8/IE00667/F0041/X125/R0106/001/MMO</t>
  </si>
  <si>
    <t>O1293-8/IE00754/F0041/X125/R0106/001/MMO</t>
  </si>
  <si>
    <t>O1293-8/IE00636/F0041/X125/R0106/001/MMO</t>
  </si>
  <si>
    <t>O1444-5/IE00694/F0041/X045/R0106/001/MMO</t>
  </si>
  <si>
    <t>O1444-12/IE00754/F0041/X045/R0106/001/MMO</t>
  </si>
  <si>
    <t>O1342-1/IE00694/F0041/X063/R0105/001/CORP</t>
  </si>
  <si>
    <t>O1444-6/IE00626/F0041/X045/R0106/001/MMO</t>
  </si>
  <si>
    <t>O1444-8/IE00571/F0041/X045/R0106/001/MMO</t>
  </si>
  <si>
    <t>O1238-1/IE00811/F0041/X045/R0106/001/MMO</t>
  </si>
  <si>
    <t>2022/2023 OUTER YEAR ONE SUMMARY</t>
  </si>
  <si>
    <t>2023/2024 OUTER YEAR TWO SUMMARY</t>
  </si>
  <si>
    <t>O2390-1/IE00651/F0041/X116/R0106/001/TECH</t>
  </si>
  <si>
    <t>O1305-3/IE00534/F0041/X098/R0106/001/MMO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</si>
</sst>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b/>
      <sz val="11"/>
      <name val="Times New Roman"/>
      <family val="1"/>
    </font>
    <font>
      <sz val="16"/>
      <name val="Times New Roman"/>
      <family val="1"/>
    </font>
    <font>
      <b/>
      <sz val="2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  <border>
      <left style="medium">
        <color auto="1"/>
      </left>
      <right/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2">
    <xf numFmtId="0" fontId="0" fillId="0" borderId="0" xfId="0"/>
    <xf numFmtId="43" fontId="0" fillId="0" borderId="0" xfId="1" applyFont="1"/>
    <xf numFmtId="0" fontId="2" fillId="0" borderId="2" xfId="0" applyFont="1" applyBorder="1"/>
    <xf numFmtId="43" fontId="2" fillId="0" borderId="2" xfId="1" applyFont="1" applyBorder="1"/>
    <xf numFmtId="0" fontId="0" fillId="0" borderId="2" xfId="0" applyBorder="1"/>
    <xf numFmtId="43" fontId="0" fillId="0" borderId="2" xfId="1" applyFont="1" applyBorder="1"/>
    <xf numFmtId="0" fontId="2" fillId="0" borderId="8" xfId="0" applyFont="1" applyBorder="1"/>
    <xf numFmtId="0" fontId="2" fillId="0" borderId="9" xfId="0" applyFont="1" applyBorder="1"/>
    <xf numFmtId="43" fontId="2" fillId="0" borderId="9" xfId="1" applyFont="1" applyBorder="1"/>
    <xf numFmtId="0" fontId="0" fillId="2" borderId="2" xfId="0" applyFill="1" applyBorder="1"/>
    <xf numFmtId="0" fontId="2" fillId="3" borderId="1" xfId="0" applyFont="1" applyFill="1" applyBorder="1"/>
    <xf numFmtId="43" fontId="2" fillId="3" borderId="1" xfId="1" applyFont="1" applyFill="1" applyBorder="1" applyAlignment="1">
      <alignment horizontal="center" wrapText="1"/>
    </xf>
    <xf numFmtId="43" fontId="2" fillId="3" borderId="1" xfId="1" applyFont="1" applyFill="1" applyBorder="1"/>
    <xf numFmtId="43" fontId="2" fillId="0" borderId="17" xfId="1" applyFont="1" applyBorder="1"/>
    <xf numFmtId="0" fontId="2" fillId="0" borderId="2" xfId="0" applyFont="1" applyFill="1" applyBorder="1"/>
    <xf numFmtId="43" fontId="2" fillId="0" borderId="2" xfId="1" applyFont="1" applyFill="1" applyBorder="1"/>
    <xf numFmtId="0" fontId="0" fillId="0" borderId="18" xfId="0" applyBorder="1"/>
    <xf numFmtId="43" fontId="0" fillId="0" borderId="18" xfId="1" applyFont="1" applyBorder="1"/>
    <xf numFmtId="0" fontId="5" fillId="0" borderId="0" xfId="0" applyFont="1" applyFill="1"/>
    <xf numFmtId="0" fontId="6" fillId="0" borderId="0" xfId="0" applyFont="1" applyFill="1"/>
    <xf numFmtId="0" fontId="5" fillId="0" borderId="2" xfId="0" applyFont="1" applyBorder="1"/>
    <xf numFmtId="43" fontId="5" fillId="0" borderId="2" xfId="1" applyFont="1" applyBorder="1"/>
    <xf numFmtId="0" fontId="6" fillId="0" borderId="2" xfId="0" applyFont="1" applyBorder="1"/>
    <xf numFmtId="43" fontId="6" fillId="0" borderId="2" xfId="1" applyFont="1" applyBorder="1"/>
    <xf numFmtId="0" fontId="6" fillId="0" borderId="6" xfId="0" applyFont="1" applyBorder="1"/>
    <xf numFmtId="43" fontId="6" fillId="0" borderId="6" xfId="1" applyFont="1" applyBorder="1"/>
    <xf numFmtId="0" fontId="5" fillId="0" borderId="5" xfId="0" applyFont="1" applyBorder="1"/>
    <xf numFmtId="43" fontId="5" fillId="0" borderId="5" xfId="1" applyFont="1" applyBorder="1"/>
    <xf numFmtId="0" fontId="5" fillId="0" borderId="16" xfId="0" applyFont="1" applyBorder="1"/>
    <xf numFmtId="43" fontId="5" fillId="0" borderId="16" xfId="1" applyFont="1" applyBorder="1"/>
    <xf numFmtId="0" fontId="5" fillId="0" borderId="13" xfId="0" applyFont="1" applyBorder="1"/>
    <xf numFmtId="43" fontId="5" fillId="0" borderId="13" xfId="1" applyFont="1" applyBorder="1"/>
    <xf numFmtId="0" fontId="5" fillId="0" borderId="7" xfId="0" applyFont="1" applyBorder="1"/>
    <xf numFmtId="43" fontId="5" fillId="0" borderId="7" xfId="1" applyFont="1" applyBorder="1"/>
    <xf numFmtId="43" fontId="5" fillId="0" borderId="0" xfId="1" applyFont="1" applyFill="1"/>
    <xf numFmtId="0" fontId="6" fillId="3" borderId="0" xfId="0" applyFont="1" applyFill="1"/>
    <xf numFmtId="0" fontId="6" fillId="0" borderId="0" xfId="0" applyFont="1"/>
    <xf numFmtId="0" fontId="5" fillId="3" borderId="15" xfId="0" applyFont="1" applyFill="1" applyBorder="1"/>
    <xf numFmtId="43" fontId="5" fillId="3" borderId="15" xfId="1" applyFont="1" applyFill="1" applyBorder="1"/>
    <xf numFmtId="0" fontId="5" fillId="0" borderId="1" xfId="0" applyFont="1" applyBorder="1"/>
    <xf numFmtId="43" fontId="5" fillId="0" borderId="1" xfId="1" applyFont="1" applyBorder="1"/>
    <xf numFmtId="0" fontId="5" fillId="0" borderId="4" xfId="0" applyFont="1" applyBorder="1"/>
    <xf numFmtId="43" fontId="5" fillId="0" borderId="4" xfId="1" applyFont="1" applyBorder="1"/>
    <xf numFmtId="43" fontId="6" fillId="0" borderId="0" xfId="0" applyNumberFormat="1" applyFont="1"/>
    <xf numFmtId="43" fontId="6" fillId="0" borderId="0" xfId="1" applyFont="1"/>
    <xf numFmtId="0" fontId="5" fillId="0" borderId="0" xfId="0" applyFont="1"/>
    <xf numFmtId="43" fontId="5" fillId="0" borderId="0" xfId="1" applyFont="1"/>
    <xf numFmtId="9" fontId="6" fillId="0" borderId="0" xfId="2" applyFont="1"/>
    <xf numFmtId="0" fontId="7" fillId="0" borderId="0" xfId="0" applyFont="1" applyFill="1"/>
    <xf numFmtId="43" fontId="7" fillId="0" borderId="0" xfId="1" applyFont="1" applyFill="1"/>
    <xf numFmtId="0" fontId="8" fillId="0" borderId="2" xfId="0" applyFont="1" applyFill="1" applyBorder="1" applyAlignment="1"/>
    <xf numFmtId="0" fontId="8" fillId="0" borderId="2" xfId="0" applyFont="1" applyFill="1" applyBorder="1"/>
    <xf numFmtId="0" fontId="9" fillId="0" borderId="2" xfId="0" applyFont="1" applyFill="1" applyBorder="1"/>
    <xf numFmtId="43" fontId="9" fillId="0" borderId="2" xfId="1" applyFont="1" applyFill="1" applyBorder="1"/>
    <xf numFmtId="43" fontId="9" fillId="0" borderId="4" xfId="1" applyFont="1" applyFill="1" applyBorder="1" applyAlignment="1">
      <alignment horizontal="center" wrapText="1"/>
    </xf>
    <xf numFmtId="0" fontId="8" fillId="0" borderId="6" xfId="0" applyFont="1" applyFill="1" applyBorder="1"/>
    <xf numFmtId="0" fontId="9" fillId="0" borderId="6" xfId="0" applyFont="1" applyFill="1" applyBorder="1"/>
    <xf numFmtId="0" fontId="8" fillId="0" borderId="5" xfId="0" applyFont="1" applyFill="1" applyBorder="1"/>
    <xf numFmtId="0" fontId="9" fillId="0" borderId="5" xfId="0" applyFont="1" applyFill="1" applyBorder="1"/>
    <xf numFmtId="43" fontId="8" fillId="0" borderId="5" xfId="1" applyFont="1" applyFill="1" applyBorder="1"/>
    <xf numFmtId="0" fontId="8" fillId="0" borderId="4" xfId="0" applyFont="1" applyFill="1" applyBorder="1"/>
    <xf numFmtId="0" fontId="9" fillId="0" borderId="4" xfId="0" applyFont="1" applyFill="1" applyBorder="1"/>
    <xf numFmtId="43" fontId="9" fillId="0" borderId="4" xfId="1" applyFont="1" applyFill="1" applyBorder="1"/>
    <xf numFmtId="0" fontId="9" fillId="0" borderId="0" xfId="0" applyFont="1" applyFill="1"/>
    <xf numFmtId="43" fontId="9" fillId="0" borderId="0" xfId="1" applyFont="1" applyFill="1"/>
    <xf numFmtId="0" fontId="8" fillId="0" borderId="9" xfId="0" applyFont="1" applyFill="1" applyBorder="1"/>
    <xf numFmtId="43" fontId="8" fillId="0" borderId="4" xfId="1" applyFont="1" applyFill="1" applyBorder="1" applyAlignment="1">
      <alignment horizontal="center" wrapText="1"/>
    </xf>
    <xf numFmtId="43" fontId="8" fillId="0" borderId="2" xfId="1" applyFont="1" applyFill="1" applyBorder="1"/>
    <xf numFmtId="43" fontId="9" fillId="0" borderId="13" xfId="1" applyFont="1" applyFill="1" applyBorder="1" applyAlignment="1">
      <alignment horizontal="center" wrapText="1"/>
    </xf>
    <xf numFmtId="43" fontId="9" fillId="0" borderId="6" xfId="1" applyFont="1" applyFill="1" applyBorder="1"/>
    <xf numFmtId="0" fontId="8" fillId="0" borderId="25" xfId="0" applyFont="1" applyFill="1" applyBorder="1"/>
    <xf numFmtId="43" fontId="8" fillId="0" borderId="25" xfId="1" applyFont="1" applyFill="1" applyBorder="1" applyAlignment="1">
      <alignment horizontal="center" wrapText="1"/>
    </xf>
    <xf numFmtId="43" fontId="8" fillId="0" borderId="25" xfId="1" applyFont="1" applyFill="1" applyBorder="1"/>
    <xf numFmtId="0" fontId="9" fillId="0" borderId="13" xfId="0" applyFont="1" applyFill="1" applyBorder="1"/>
    <xf numFmtId="0" fontId="8" fillId="0" borderId="13" xfId="0" applyFont="1" applyFill="1" applyBorder="1"/>
    <xf numFmtId="0" fontId="8" fillId="0" borderId="15" xfId="0" applyFont="1" applyFill="1" applyBorder="1"/>
    <xf numFmtId="43" fontId="8" fillId="0" borderId="0" xfId="1" applyFont="1" applyFill="1"/>
    <xf numFmtId="0" fontId="8" fillId="0" borderId="0" xfId="0" applyFont="1" applyFill="1"/>
    <xf numFmtId="43" fontId="8" fillId="0" borderId="4" xfId="1" applyFont="1" applyFill="1" applyBorder="1"/>
    <xf numFmtId="43" fontId="9" fillId="0" borderId="13" xfId="1" applyFont="1" applyFill="1" applyBorder="1"/>
    <xf numFmtId="43" fontId="8" fillId="0" borderId="13" xfId="1" applyFont="1" applyFill="1" applyBorder="1"/>
    <xf numFmtId="0" fontId="8" fillId="0" borderId="7" xfId="0" applyFont="1" applyFill="1" applyBorder="1"/>
    <xf numFmtId="43" fontId="8" fillId="0" borderId="7" xfId="1" applyFont="1" applyFill="1" applyBorder="1"/>
    <xf numFmtId="43" fontId="8" fillId="0" borderId="6" xfId="1" applyFont="1" applyFill="1" applyBorder="1"/>
    <xf numFmtId="0" fontId="9" fillId="0" borderId="3" xfId="0" applyFont="1" applyFill="1" applyBorder="1"/>
    <xf numFmtId="0" fontId="9" fillId="0" borderId="19" xfId="0" applyFont="1" applyFill="1" applyBorder="1"/>
    <xf numFmtId="43" fontId="9" fillId="0" borderId="19" xfId="1" applyFont="1" applyFill="1" applyBorder="1"/>
    <xf numFmtId="43" fontId="8" fillId="0" borderId="9" xfId="1" applyFont="1" applyFill="1" applyBorder="1"/>
    <xf numFmtId="9" fontId="9" fillId="0" borderId="0" xfId="2" applyFont="1" applyFill="1"/>
    <xf numFmtId="0" fontId="8" fillId="0" borderId="10" xfId="0" applyFont="1" applyFill="1" applyBorder="1" applyAlignment="1"/>
    <xf numFmtId="0" fontId="8" fillId="0" borderId="11" xfId="0" applyFont="1" applyFill="1" applyBorder="1" applyAlignment="1"/>
    <xf numFmtId="43" fontId="8" fillId="0" borderId="13" xfId="1" applyFont="1" applyFill="1" applyBorder="1" applyAlignment="1">
      <alignment horizontal="center" wrapText="1"/>
    </xf>
    <xf numFmtId="43" fontId="8" fillId="0" borderId="5" xfId="1" applyFont="1" applyFill="1" applyBorder="1" applyAlignment="1">
      <alignment horizontal="center" wrapText="1"/>
    </xf>
    <xf numFmtId="43" fontId="9" fillId="0" borderId="0" xfId="0" applyNumberFormat="1" applyFont="1" applyFill="1"/>
    <xf numFmtId="43" fontId="9" fillId="0" borderId="14" xfId="1" applyFont="1" applyFill="1" applyBorder="1"/>
    <xf numFmtId="43" fontId="9" fillId="0" borderId="5" xfId="1" applyFont="1" applyFill="1" applyBorder="1"/>
    <xf numFmtId="0" fontId="9" fillId="0" borderId="26" xfId="0" applyFont="1" applyFill="1" applyBorder="1"/>
    <xf numFmtId="43" fontId="9" fillId="0" borderId="26" xfId="1" applyFont="1" applyFill="1" applyBorder="1"/>
    <xf numFmtId="0" fontId="8" fillId="0" borderId="23" xfId="0" applyFont="1" applyFill="1" applyBorder="1"/>
    <xf numFmtId="43" fontId="8" fillId="0" borderId="23" xfId="1" applyFont="1" applyFill="1" applyBorder="1"/>
    <xf numFmtId="43" fontId="8" fillId="0" borderId="15" xfId="1" applyFont="1" applyFill="1" applyBorder="1"/>
    <xf numFmtId="43" fontId="9" fillId="0" borderId="16" xfId="1" applyFont="1" applyFill="1" applyBorder="1"/>
    <xf numFmtId="0" fontId="8" fillId="0" borderId="27" xfId="0" applyFont="1" applyFill="1" applyBorder="1"/>
    <xf numFmtId="43" fontId="8" fillId="0" borderId="27" xfId="1" applyFont="1" applyFill="1" applyBorder="1"/>
    <xf numFmtId="0" fontId="9" fillId="0" borderId="28" xfId="0" applyFont="1" applyFill="1" applyBorder="1"/>
    <xf numFmtId="0" fontId="8" fillId="0" borderId="28" xfId="0" applyFont="1" applyFill="1" applyBorder="1"/>
    <xf numFmtId="0" fontId="8" fillId="0" borderId="16" xfId="0" applyFont="1" applyFill="1" applyBorder="1"/>
    <xf numFmtId="43" fontId="8" fillId="0" borderId="16" xfId="1" applyFont="1" applyFill="1" applyBorder="1"/>
    <xf numFmtId="0" fontId="9" fillId="0" borderId="29" xfId="0" applyFont="1" applyFill="1" applyBorder="1"/>
    <xf numFmtId="0" fontId="8" fillId="0" borderId="24" xfId="0" applyFont="1" applyFill="1" applyBorder="1"/>
    <xf numFmtId="0" fontId="8" fillId="0" borderId="30" xfId="0" applyFont="1" applyFill="1" applyBorder="1"/>
    <xf numFmtId="0" fontId="8" fillId="0" borderId="14" xfId="0" applyFont="1" applyFill="1" applyBorder="1"/>
    <xf numFmtId="0" fontId="9" fillId="0" borderId="16" xfId="0" applyFont="1" applyFill="1" applyBorder="1"/>
    <xf numFmtId="43" fontId="9" fillId="0" borderId="3" xfId="1" applyFont="1" applyFill="1" applyBorder="1" applyAlignment="1">
      <alignment horizontal="center" wrapText="1"/>
    </xf>
    <xf numFmtId="43" fontId="9" fillId="0" borderId="3" xfId="1" applyFont="1" applyFill="1" applyBorder="1"/>
    <xf numFmtId="43" fontId="9" fillId="0" borderId="2" xfId="1" applyFont="1" applyFill="1" applyBorder="1" applyAlignment="1">
      <alignment horizontal="center" wrapText="1"/>
    </xf>
    <xf numFmtId="0" fontId="8" fillId="0" borderId="19" xfId="0" applyFont="1" applyFill="1" applyBorder="1"/>
    <xf numFmtId="0" fontId="8" fillId="0" borderId="26" xfId="0" applyFont="1" applyFill="1" applyBorder="1"/>
    <xf numFmtId="43" fontId="8" fillId="0" borderId="26" xfId="1" applyFont="1" applyFill="1" applyBorder="1"/>
    <xf numFmtId="43" fontId="8" fillId="0" borderId="7" xfId="0" applyNumberFormat="1" applyFont="1" applyFill="1" applyBorder="1"/>
    <xf numFmtId="43" fontId="5" fillId="4" borderId="0" xfId="1" applyFont="1" applyFill="1"/>
    <xf numFmtId="0" fontId="5" fillId="4" borderId="0" xfId="0" applyFont="1" applyFill="1"/>
    <xf numFmtId="43" fontId="10" fillId="0" borderId="0" xfId="1" applyFont="1"/>
    <xf numFmtId="0" fontId="10" fillId="0" borderId="0" xfId="0" applyFont="1"/>
    <xf numFmtId="0" fontId="10" fillId="0" borderId="0" xfId="0" applyFont="1" applyFill="1"/>
    <xf numFmtId="0" fontId="8" fillId="0" borderId="1" xfId="0" applyFont="1" applyFill="1" applyBorder="1" applyAlignment="1"/>
    <xf numFmtId="9" fontId="5" fillId="0" borderId="0" xfId="2" applyFont="1"/>
    <xf numFmtId="0" fontId="11" fillId="3" borderId="15" xfId="0" applyFont="1" applyFill="1" applyBorder="1"/>
    <xf numFmtId="43" fontId="11" fillId="3" borderId="15" xfId="1" applyFont="1" applyFill="1" applyBorder="1"/>
    <xf numFmtId="0" fontId="11" fillId="0" borderId="1" xfId="0" applyFont="1" applyBorder="1"/>
    <xf numFmtId="43" fontId="11" fillId="0" borderId="1" xfId="1" applyFont="1" applyBorder="1"/>
    <xf numFmtId="0" fontId="11" fillId="0" borderId="2" xfId="0" applyFont="1" applyBorder="1"/>
    <xf numFmtId="43" fontId="11" fillId="0" borderId="2" xfId="1" applyFont="1" applyBorder="1"/>
    <xf numFmtId="0" fontId="12" fillId="0" borderId="2" xfId="0" applyFont="1" applyBorder="1"/>
    <xf numFmtId="43" fontId="12" fillId="0" borderId="2" xfId="1" applyFont="1" applyBorder="1"/>
    <xf numFmtId="0" fontId="11" fillId="0" borderId="5" xfId="0" applyFont="1" applyBorder="1"/>
    <xf numFmtId="43" fontId="11" fillId="0" borderId="5" xfId="1" applyFont="1" applyBorder="1"/>
    <xf numFmtId="0" fontId="11" fillId="0" borderId="16" xfId="0" applyFont="1" applyBorder="1"/>
    <xf numFmtId="43" fontId="11" fillId="0" borderId="16" xfId="1" applyFont="1" applyBorder="1"/>
    <xf numFmtId="0" fontId="12" fillId="0" borderId="6" xfId="0" applyFont="1" applyBorder="1"/>
    <xf numFmtId="43" fontId="12" fillId="0" borderId="6" xfId="1" applyFont="1" applyBorder="1"/>
    <xf numFmtId="0" fontId="11" fillId="0" borderId="13" xfId="0" applyFont="1" applyBorder="1"/>
    <xf numFmtId="43" fontId="11" fillId="0" borderId="13" xfId="1" applyFont="1" applyBorder="1"/>
    <xf numFmtId="0" fontId="11" fillId="0" borderId="5" xfId="0" applyFont="1" applyFill="1" applyBorder="1"/>
    <xf numFmtId="43" fontId="11" fillId="0" borderId="5" xfId="1" applyFont="1" applyFill="1" applyBorder="1"/>
    <xf numFmtId="0" fontId="11" fillId="0" borderId="7" xfId="0" applyFont="1" applyBorder="1"/>
    <xf numFmtId="43" fontId="11" fillId="0" borderId="7" xfId="1" applyFont="1" applyBorder="1"/>
    <xf numFmtId="0" fontId="8" fillId="0" borderId="2" xfId="0" applyFont="1" applyFill="1" applyBorder="1" applyAlignment="1">
      <alignment horizontal="left"/>
    </xf>
    <xf numFmtId="43" fontId="11" fillId="3" borderId="15" xfId="1" applyFont="1" applyFill="1" applyBorder="1" applyAlignment="1">
      <alignment horizontal="center" wrapText="1"/>
    </xf>
    <xf numFmtId="0" fontId="8" fillId="0" borderId="31" xfId="0" applyFont="1" applyFill="1" applyBorder="1"/>
    <xf numFmtId="0" fontId="8" fillId="0" borderId="4" xfId="0" applyFont="1" applyFill="1" applyBorder="1" applyAlignment="1"/>
    <xf numFmtId="43" fontId="8" fillId="0" borderId="15" xfId="1" applyFont="1" applyFill="1" applyBorder="1" applyAlignment="1"/>
    <xf numFmtId="43" fontId="9" fillId="0" borderId="6" xfId="1" applyFont="1" applyFill="1" applyBorder="1" applyAlignment="1"/>
    <xf numFmtId="43" fontId="6" fillId="0" borderId="0" xfId="1" applyFont="1" applyBorder="1"/>
    <xf numFmtId="43" fontId="9" fillId="0" borderId="1" xfId="1" applyFont="1" applyFill="1" applyBorder="1"/>
    <xf numFmtId="43" fontId="9" fillId="0" borderId="15" xfId="1" applyFont="1" applyFill="1" applyBorder="1"/>
    <xf numFmtId="0" fontId="8" fillId="0" borderId="2" xfId="0" applyFont="1" applyFill="1" applyBorder="1" applyAlignment="1">
      <alignment horizontal="center"/>
    </xf>
    <xf numFmtId="0" fontId="9" fillId="0" borderId="32" xfId="0" applyFont="1" applyFill="1" applyBorder="1"/>
    <xf numFmtId="43" fontId="8" fillId="0" borderId="32" xfId="1" applyFont="1" applyFill="1" applyBorder="1"/>
    <xf numFmtId="43" fontId="8" fillId="0" borderId="3" xfId="1" applyFont="1" applyFill="1" applyBorder="1"/>
    <xf numFmtId="0" fontId="8" fillId="0" borderId="1" xfId="0" applyFont="1" applyFill="1" applyBorder="1"/>
    <xf numFmtId="43" fontId="8" fillId="0" borderId="1" xfId="1" applyFont="1" applyFill="1" applyBorder="1" applyAlignment="1">
      <alignment horizontal="center" wrapText="1"/>
    </xf>
    <xf numFmtId="43" fontId="8" fillId="0" borderId="15" xfId="1" applyFont="1" applyFill="1" applyBorder="1" applyAlignment="1">
      <alignment horizontal="center" wrapText="1"/>
    </xf>
    <xf numFmtId="0" fontId="8" fillId="0" borderId="2" xfId="0" applyFont="1" applyFill="1" applyBorder="1" applyAlignment="1">
      <alignment vertical="center"/>
    </xf>
    <xf numFmtId="43" fontId="9" fillId="0" borderId="5" xfId="0" applyNumberFormat="1" applyFont="1" applyFill="1" applyBorder="1"/>
    <xf numFmtId="0" fontId="9" fillId="0" borderId="14" xfId="0" applyFont="1" applyFill="1" applyBorder="1"/>
    <xf numFmtId="43" fontId="8" fillId="0" borderId="5" xfId="0" applyNumberFormat="1" applyFont="1" applyFill="1" applyBorder="1"/>
    <xf numFmtId="43" fontId="13" fillId="0" borderId="1" xfId="1" applyFont="1" applyFill="1" applyBorder="1" applyAlignment="1">
      <alignment horizontal="center" wrapText="1"/>
    </xf>
    <xf numFmtId="0" fontId="13" fillId="0" borderId="0" xfId="0" applyFont="1" applyFill="1"/>
    <xf numFmtId="0" fontId="8" fillId="0" borderId="4" xfId="0" applyFont="1" applyFill="1" applyBorder="1" applyAlignment="1">
      <alignment wrapText="1"/>
    </xf>
    <xf numFmtId="43" fontId="13" fillId="0" borderId="0" xfId="1" applyFont="1" applyFill="1"/>
    <xf numFmtId="43" fontId="14" fillId="0" borderId="0" xfId="1" applyFont="1" applyFill="1"/>
    <xf numFmtId="43" fontId="5" fillId="0" borderId="0" xfId="2" applyNumberFormat="1" applyFont="1"/>
    <xf numFmtId="43" fontId="9" fillId="0" borderId="6" xfId="0" applyNumberFormat="1" applyFont="1" applyFill="1" applyBorder="1"/>
    <xf numFmtId="43" fontId="5" fillId="0" borderId="0" xfId="0" applyNumberFormat="1" applyFont="1"/>
    <xf numFmtId="43" fontId="8" fillId="0" borderId="33" xfId="1" applyFont="1" applyFill="1" applyBorder="1" applyAlignment="1">
      <alignment horizontal="center" wrapText="1"/>
    </xf>
    <xf numFmtId="43" fontId="9" fillId="0" borderId="10" xfId="1" applyFont="1" applyFill="1" applyBorder="1"/>
    <xf numFmtId="43" fontId="8" fillId="0" borderId="24" xfId="1" applyFont="1" applyFill="1" applyBorder="1"/>
    <xf numFmtId="43" fontId="8" fillId="0" borderId="34" xfId="1" applyFont="1" applyFill="1" applyBorder="1"/>
    <xf numFmtId="43" fontId="9" fillId="0" borderId="29" xfId="1" applyFont="1" applyFill="1" applyBorder="1"/>
    <xf numFmtId="43" fontId="8" fillId="0" borderId="29" xfId="1" applyFont="1" applyFill="1" applyBorder="1"/>
    <xf numFmtId="43" fontId="8" fillId="0" borderId="8" xfId="1" applyFont="1" applyFill="1" applyBorder="1"/>
    <xf numFmtId="43" fontId="8" fillId="0" borderId="35" xfId="1" applyFont="1" applyFill="1" applyBorder="1"/>
    <xf numFmtId="0" fontId="8" fillId="0" borderId="33" xfId="0" applyFont="1" applyFill="1" applyBorder="1" applyAlignment="1"/>
    <xf numFmtId="43" fontId="9" fillId="0" borderId="34" xfId="1" applyFont="1" applyFill="1" applyBorder="1"/>
    <xf numFmtId="43" fontId="8" fillId="0" borderId="10" xfId="1" applyFont="1" applyFill="1" applyBorder="1"/>
    <xf numFmtId="43" fontId="9" fillId="0" borderId="35" xfId="1" applyFont="1" applyFill="1" applyBorder="1"/>
    <xf numFmtId="43" fontId="9" fillId="0" borderId="20" xfId="1" applyFont="1" applyFill="1" applyBorder="1"/>
    <xf numFmtId="43" fontId="8" fillId="0" borderId="30" xfId="1" applyFont="1" applyFill="1" applyBorder="1"/>
    <xf numFmtId="43" fontId="9" fillId="0" borderId="36" xfId="1" applyFont="1" applyFill="1" applyBorder="1"/>
    <xf numFmtId="43" fontId="9" fillId="0" borderId="0" xfId="1" applyFont="1" applyFill="1" applyBorder="1"/>
    <xf numFmtId="43" fontId="8" fillId="0" borderId="29" xfId="1" applyFont="1" applyFill="1" applyBorder="1" applyAlignment="1">
      <alignment horizontal="center" wrapText="1"/>
    </xf>
    <xf numFmtId="43" fontId="8" fillId="0" borderId="0" xfId="1" applyFont="1" applyFill="1" applyBorder="1" applyAlignment="1">
      <alignment horizontal="center" wrapText="1"/>
    </xf>
    <xf numFmtId="43" fontId="8" fillId="0" borderId="0" xfId="1" applyFont="1" applyFill="1" applyBorder="1"/>
    <xf numFmtId="0" fontId="9" fillId="0" borderId="0" xfId="0" applyFont="1" applyFill="1" applyBorder="1"/>
    <xf numFmtId="43" fontId="9" fillId="0" borderId="35" xfId="1" applyFont="1" applyFill="1" applyBorder="1" applyAlignment="1"/>
    <xf numFmtId="0" fontId="8" fillId="0" borderId="34" xfId="0" applyFont="1" applyFill="1" applyBorder="1" applyAlignment="1"/>
    <xf numFmtId="43" fontId="9" fillId="0" borderId="29" xfId="1" applyFont="1" applyFill="1" applyBorder="1" applyAlignment="1">
      <alignment horizontal="center" wrapText="1"/>
    </xf>
    <xf numFmtId="0" fontId="9" fillId="0" borderId="24" xfId="0" applyFont="1" applyFill="1" applyBorder="1"/>
    <xf numFmtId="43" fontId="9" fillId="0" borderId="37" xfId="1" applyFont="1" applyFill="1" applyBorder="1"/>
    <xf numFmtId="43" fontId="7" fillId="0" borderId="29" xfId="1" applyFont="1" applyFill="1" applyBorder="1"/>
    <xf numFmtId="43" fontId="7" fillId="0" borderId="0" xfId="1" applyFont="1" applyFill="1" applyBorder="1"/>
    <xf numFmtId="43" fontId="8" fillId="0" borderId="29" xfId="1" applyFont="1" applyFill="1" applyBorder="1" applyAlignment="1"/>
    <xf numFmtId="43" fontId="8" fillId="0" borderId="0" xfId="1" applyFont="1" applyFill="1" applyBorder="1" applyAlignment="1"/>
    <xf numFmtId="43" fontId="13" fillId="0" borderId="0" xfId="1" applyFont="1" applyFill="1" applyBorder="1"/>
    <xf numFmtId="43" fontId="13" fillId="0" borderId="29" xfId="1" applyFont="1" applyFill="1" applyBorder="1"/>
    <xf numFmtId="43" fontId="8" fillId="0" borderId="34" xfId="1" applyFont="1" applyFill="1" applyBorder="1" applyAlignment="1">
      <alignment horizontal="center" wrapText="1"/>
    </xf>
    <xf numFmtId="43" fontId="9" fillId="0" borderId="38" xfId="1" applyFont="1" applyFill="1" applyBorder="1"/>
    <xf numFmtId="43" fontId="8" fillId="0" borderId="24" xfId="0" applyNumberFormat="1" applyFont="1" applyFill="1" applyBorder="1"/>
    <xf numFmtId="43" fontId="9" fillId="0" borderId="39" xfId="1" applyFont="1" applyFill="1" applyBorder="1"/>
    <xf numFmtId="43" fontId="9" fillId="0" borderId="29" xfId="1" applyNumberFormat="1" applyFont="1" applyFill="1" applyBorder="1" applyAlignment="1">
      <alignment shrinkToFit="1"/>
    </xf>
    <xf numFmtId="43" fontId="9" fillId="0" borderId="0" xfId="1" applyNumberFormat="1" applyFont="1" applyFill="1" applyBorder="1" applyAlignment="1">
      <alignment shrinkToFit="1"/>
    </xf>
    <xf numFmtId="43" fontId="8" fillId="0" borderId="29" xfId="0" applyNumberFormat="1" applyFont="1" applyFill="1" applyBorder="1"/>
    <xf numFmtId="43" fontId="8" fillId="0" borderId="0" xfId="0" applyNumberFormat="1" applyFont="1" applyFill="1" applyBorder="1"/>
    <xf numFmtId="0" fontId="8" fillId="0" borderId="34" xfId="0" applyFont="1" applyFill="1" applyBorder="1" applyAlignment="1">
      <alignment wrapText="1"/>
    </xf>
    <xf numFmtId="0" fontId="8" fillId="0" borderId="10" xfId="0" applyFont="1" applyFill="1" applyBorder="1" applyAlignment="1">
      <alignment horizontal="center"/>
    </xf>
    <xf numFmtId="0" fontId="9" fillId="0" borderId="10" xfId="0" applyFont="1" applyFill="1" applyBorder="1"/>
    <xf numFmtId="0" fontId="8" fillId="0" borderId="34" xfId="0" applyFont="1" applyFill="1" applyBorder="1"/>
    <xf numFmtId="43" fontId="9" fillId="0" borderId="24" xfId="1" applyFont="1" applyFill="1" applyBorder="1"/>
    <xf numFmtId="0" fontId="8" fillId="0" borderId="0" xfId="0" applyFont="1" applyFill="1" applyBorder="1"/>
    <xf numFmtId="43" fontId="9" fillId="0" borderId="0" xfId="0" applyNumberFormat="1" applyFont="1" applyFill="1" applyBorder="1"/>
    <xf numFmtId="43" fontId="8" fillId="0" borderId="40" xfId="1" applyFont="1" applyFill="1" applyBorder="1"/>
    <xf numFmtId="0" fontId="8" fillId="0" borderId="10" xfId="0" applyFont="1" applyFill="1" applyBorder="1" applyAlignment="1">
      <alignment vertical="center"/>
    </xf>
    <xf numFmtId="43" fontId="8" fillId="0" borderId="38" xfId="1" applyFont="1" applyFill="1" applyBorder="1"/>
    <xf numFmtId="43" fontId="8" fillId="0" borderId="41" xfId="1" applyFont="1" applyFill="1" applyBorder="1"/>
    <xf numFmtId="43" fontId="9" fillId="0" borderId="6" xfId="1" applyFont="1" applyFill="1" applyBorder="1" applyAlignment="1">
      <alignment horizontal="right"/>
    </xf>
    <xf numFmtId="43" fontId="9" fillId="0" borderId="6" xfId="1" applyFont="1" applyFill="1" applyBorder="1" applyAlignment="1">
      <alignment horizontal="center" wrapText="1"/>
    </xf>
    <xf numFmtId="43" fontId="8" fillId="0" borderId="42" xfId="0" applyNumberFormat="1" applyFont="1" applyFill="1" applyBorder="1"/>
    <xf numFmtId="43" fontId="8" fillId="0" borderId="16" xfId="1" applyFont="1" applyFill="1" applyBorder="1" applyAlignment="1">
      <alignment horizontal="center" wrapText="1"/>
    </xf>
    <xf numFmtId="43" fontId="9" fillId="0" borderId="16" xfId="1" applyFont="1" applyFill="1" applyBorder="1" applyAlignment="1">
      <alignment horizontal="center" wrapText="1"/>
    </xf>
    <xf numFmtId="43" fontId="6" fillId="0" borderId="0" xfId="1" applyFont="1" applyFill="1"/>
    <xf numFmtId="43" fontId="8" fillId="0" borderId="0" xfId="0" applyNumberFormat="1" applyFont="1" applyFill="1"/>
    <xf numFmtId="43" fontId="13" fillId="0" borderId="0" xfId="0" applyNumberFormat="1" applyFont="1" applyFill="1"/>
    <xf numFmtId="0" fontId="6" fillId="0" borderId="6" xfId="0" applyFont="1" applyFill="1" applyBorder="1"/>
    <xf numFmtId="0" fontId="15" fillId="0" borderId="2" xfId="0" applyFont="1" applyFill="1" applyBorder="1"/>
    <xf numFmtId="0" fontId="8" fillId="0" borderId="20" xfId="0" applyFont="1" applyFill="1" applyBorder="1" applyAlignment="1">
      <alignment horizontal="center"/>
    </xf>
    <xf numFmtId="0" fontId="8" fillId="0" borderId="21" xfId="0" applyFont="1" applyFill="1" applyBorder="1" applyAlignment="1">
      <alignment horizontal="center"/>
    </xf>
    <xf numFmtId="0" fontId="8" fillId="0" borderId="22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left"/>
    </xf>
    <xf numFmtId="0" fontId="8" fillId="0" borderId="12" xfId="0" applyFont="1" applyFill="1" applyBorder="1" applyAlignment="1">
      <alignment horizontal="left"/>
    </xf>
    <xf numFmtId="0" fontId="8" fillId="0" borderId="11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3" fontId="11" fillId="3" borderId="20" xfId="1" applyFont="1" applyFill="1" applyBorder="1" applyAlignment="1">
      <alignment horizontal="center"/>
    </xf>
    <xf numFmtId="43" fontId="11" fillId="3" borderId="21" xfId="1" applyFont="1" applyFill="1" applyBorder="1" applyAlignment="1">
      <alignment horizontal="center"/>
    </xf>
    <xf numFmtId="43" fontId="11" fillId="3" borderId="22" xfId="1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3" borderId="21" xfId="0" applyFont="1" applyFill="1" applyBorder="1" applyAlignment="1">
      <alignment horizontal="center"/>
    </xf>
    <xf numFmtId="0" fontId="5" fillId="3" borderId="22" xfId="0" applyFont="1" applyFill="1" applyBorder="1" applyAlignment="1">
      <alignment horizontal="center"/>
    </xf>
    <xf numFmtId="43" fontId="5" fillId="3" borderId="20" xfId="1" applyFont="1" applyFill="1" applyBorder="1" applyAlignment="1">
      <alignment horizontal="center"/>
    </xf>
    <xf numFmtId="43" fontId="5" fillId="3" borderId="21" xfId="1" applyFont="1" applyFill="1" applyBorder="1" applyAlignment="1">
      <alignment horizontal="center"/>
    </xf>
    <xf numFmtId="43" fontId="5" fillId="3" borderId="22" xfId="1" applyFont="1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169"/>
  <sheetViews>
    <sheetView view="pageBreakPreview" zoomScale="80" zoomScaleNormal="80" zoomScaleSheetLayoutView="80" workbookViewId="0">
      <pane xSplit="2" ySplit="4" topLeftCell="E138" activePane="bottomRight" state="frozen"/>
      <selection sqref="A1:XFD1048576"/>
      <selection pane="topRight" sqref="A1:XFD1048576"/>
      <selection pane="bottomLeft" sqref="A1:XFD1048576"/>
      <selection pane="bottomRight" activeCell="E140" sqref="E140"/>
    </sheetView>
  </sheetViews>
  <sheetFormatPr defaultColWidth="9.1796875" defaultRowHeight="13" x14ac:dyDescent="0.3"/>
  <cols>
    <col min="1" max="1" width="35.81640625" style="63" customWidth="1"/>
    <col min="2" max="2" width="39.453125" style="63" customWidth="1"/>
    <col min="3" max="4" width="16.1796875" style="64" hidden="1" customWidth="1"/>
    <col min="5" max="5" width="18.1796875" style="64" customWidth="1"/>
    <col min="6" max="6" width="16.1796875" style="64" hidden="1" customWidth="1"/>
    <col min="7" max="7" width="15.26953125" style="64" customWidth="1"/>
    <col min="8" max="8" width="16.1796875" style="64" hidden="1" customWidth="1"/>
    <col min="9" max="11" width="16.1796875" style="64" customWidth="1"/>
    <col min="12" max="12" width="16.81640625" style="64" customWidth="1"/>
    <col min="13" max="13" width="16" style="179" customWidth="1"/>
    <col min="14" max="14" width="13.54296875" style="190" customWidth="1"/>
    <col min="15" max="15" width="14.54296875" style="190" customWidth="1"/>
    <col min="16" max="16" width="13.453125" style="190" customWidth="1"/>
    <col min="17" max="17" width="9.81640625" style="63" bestFit="1" customWidth="1"/>
    <col min="18" max="16384" width="9.1796875" style="63"/>
  </cols>
  <sheetData>
    <row r="1" spans="1:17" ht="13.5" thickBot="1" x14ac:dyDescent="0.35">
      <c r="B1" s="231">
        <f>'2021 2022 DRAFT BUDGET SUMMARY'!J24</f>
        <v>-79111.445678055286</v>
      </c>
      <c r="C1" s="64">
        <f>'2021 2022 DRAFT BUDGET SUMMARY'!J24</f>
        <v>-79111.445678055286</v>
      </c>
    </row>
    <row r="2" spans="1:17" ht="13.5" thickBot="1" x14ac:dyDescent="0.35">
      <c r="A2" s="235" t="s">
        <v>1348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7"/>
    </row>
    <row r="3" spans="1:17" s="77" customFormat="1" ht="26" x14ac:dyDescent="0.3">
      <c r="A3" s="160" t="s">
        <v>0</v>
      </c>
      <c r="B3" s="160" t="s">
        <v>1</v>
      </c>
      <c r="C3" s="161" t="s">
        <v>669</v>
      </c>
      <c r="D3" s="161" t="s">
        <v>1219</v>
      </c>
      <c r="E3" s="161" t="s">
        <v>1220</v>
      </c>
      <c r="F3" s="161" t="s">
        <v>1284</v>
      </c>
      <c r="G3" s="161" t="s">
        <v>1322</v>
      </c>
      <c r="H3" s="161" t="s">
        <v>1284</v>
      </c>
      <c r="I3" s="161" t="s">
        <v>1323</v>
      </c>
      <c r="J3" s="161" t="s">
        <v>1356</v>
      </c>
      <c r="K3" s="161" t="s">
        <v>1357</v>
      </c>
      <c r="L3" s="175" t="s">
        <v>1358</v>
      </c>
      <c r="M3" s="191"/>
      <c r="N3" s="192"/>
      <c r="O3" s="192"/>
      <c r="P3" s="193"/>
    </row>
    <row r="4" spans="1:17" s="77" customFormat="1" x14ac:dyDescent="0.3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89"/>
      <c r="M4" s="180"/>
      <c r="N4" s="193"/>
      <c r="O4" s="193"/>
      <c r="P4" s="193"/>
    </row>
    <row r="5" spans="1:17" s="77" customFormat="1" x14ac:dyDescent="0.3">
      <c r="A5" s="89" t="s">
        <v>398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89"/>
      <c r="M5" s="180"/>
      <c r="N5" s="193"/>
      <c r="O5" s="193"/>
      <c r="P5" s="193"/>
    </row>
    <row r="6" spans="1:17" s="77" customFormat="1" x14ac:dyDescent="0.3">
      <c r="A6" s="50" t="s">
        <v>73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89"/>
      <c r="M6" s="180"/>
      <c r="N6" s="193"/>
      <c r="O6" s="193"/>
      <c r="P6" s="193"/>
    </row>
    <row r="7" spans="1:17" x14ac:dyDescent="0.3">
      <c r="A7" s="51" t="s">
        <v>65</v>
      </c>
      <c r="B7" s="52"/>
      <c r="C7" s="53"/>
      <c r="D7" s="53"/>
      <c r="E7" s="53"/>
      <c r="F7" s="53"/>
      <c r="G7" s="53"/>
      <c r="H7" s="53"/>
      <c r="I7" s="53"/>
      <c r="J7" s="53"/>
      <c r="K7" s="53"/>
      <c r="L7" s="176"/>
    </row>
    <row r="8" spans="1:17" x14ac:dyDescent="0.3">
      <c r="A8" s="52" t="s">
        <v>570</v>
      </c>
      <c r="B8" s="52" t="s">
        <v>569</v>
      </c>
      <c r="C8" s="53">
        <v>-11000000</v>
      </c>
      <c r="D8" s="53"/>
      <c r="E8" s="53">
        <f>C8+D8</f>
        <v>-11000000</v>
      </c>
      <c r="F8" s="53"/>
      <c r="G8" s="53">
        <f>E8+F8</f>
        <v>-11000000</v>
      </c>
      <c r="H8" s="53">
        <v>5000000</v>
      </c>
      <c r="I8" s="53">
        <f>G8+H8</f>
        <v>-6000000</v>
      </c>
      <c r="J8" s="53">
        <v>-6500000</v>
      </c>
      <c r="K8" s="53">
        <v>-10000000</v>
      </c>
      <c r="L8" s="176">
        <f>K8*104.4%</f>
        <v>-10440000</v>
      </c>
    </row>
    <row r="9" spans="1:17" ht="13.5" thickBot="1" x14ac:dyDescent="0.35">
      <c r="A9" s="52" t="s">
        <v>578</v>
      </c>
      <c r="B9" s="52" t="s">
        <v>8</v>
      </c>
      <c r="C9" s="53">
        <v>-800000</v>
      </c>
      <c r="D9" s="53"/>
      <c r="E9" s="53">
        <f>C9+D9</f>
        <v>-800000</v>
      </c>
      <c r="F9" s="53"/>
      <c r="G9" s="53">
        <f>E9+F9</f>
        <v>-800000</v>
      </c>
      <c r="H9" s="53">
        <v>-70926.239999999991</v>
      </c>
      <c r="I9" s="53">
        <f>G9+H9</f>
        <v>-870926.24</v>
      </c>
      <c r="J9" s="53">
        <f>H9+I9</f>
        <v>-941852.48</v>
      </c>
      <c r="K9" s="53">
        <f>J9*104.2%</f>
        <v>-981410.28416000004</v>
      </c>
      <c r="L9" s="176">
        <f>K9*104.4%</f>
        <v>-1024592.3366630401</v>
      </c>
      <c r="Q9" s="93"/>
    </row>
    <row r="10" spans="1:17" s="77" customFormat="1" ht="13.5" thickBot="1" x14ac:dyDescent="0.35">
      <c r="A10" s="57" t="s">
        <v>66</v>
      </c>
      <c r="B10" s="57"/>
      <c r="C10" s="59">
        <f>SUM(C8:C9)</f>
        <v>-11800000</v>
      </c>
      <c r="D10" s="59">
        <f t="shared" ref="D10:L10" si="0">SUM(D8:D9)</f>
        <v>0</v>
      </c>
      <c r="E10" s="59">
        <f t="shared" si="0"/>
        <v>-11800000</v>
      </c>
      <c r="F10" s="59">
        <f t="shared" si="0"/>
        <v>0</v>
      </c>
      <c r="G10" s="59">
        <f t="shared" si="0"/>
        <v>-11800000</v>
      </c>
      <c r="H10" s="59">
        <f t="shared" si="0"/>
        <v>4929073.76</v>
      </c>
      <c r="I10" s="59">
        <f t="shared" si="0"/>
        <v>-6870926.2400000002</v>
      </c>
      <c r="J10" s="59">
        <f t="shared" si="0"/>
        <v>-7441852.4800000004</v>
      </c>
      <c r="K10" s="59">
        <f t="shared" si="0"/>
        <v>-10981410.284159999</v>
      </c>
      <c r="L10" s="59">
        <f t="shared" si="0"/>
        <v>-11464592.336663039</v>
      </c>
      <c r="M10" s="180"/>
      <c r="N10" s="193"/>
      <c r="O10" s="193"/>
      <c r="P10" s="193"/>
    </row>
    <row r="11" spans="1:17" s="77" customFormat="1" ht="13.5" thickTop="1" x14ac:dyDescent="0.3">
      <c r="A11" s="60"/>
      <c r="B11" s="60"/>
      <c r="C11" s="78"/>
      <c r="D11" s="78"/>
      <c r="E11" s="78"/>
      <c r="F11" s="78"/>
      <c r="G11" s="78"/>
      <c r="H11" s="78"/>
      <c r="I11" s="78"/>
      <c r="J11" s="78"/>
      <c r="K11" s="78"/>
      <c r="L11" s="178"/>
      <c r="M11" s="180"/>
      <c r="N11" s="193"/>
      <c r="O11" s="193"/>
      <c r="P11" s="193"/>
    </row>
    <row r="12" spans="1:17" x14ac:dyDescent="0.3">
      <c r="A12" s="51" t="s">
        <v>67</v>
      </c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176"/>
    </row>
    <row r="13" spans="1:17" ht="13.5" thickBot="1" x14ac:dyDescent="0.35">
      <c r="A13" s="56" t="s">
        <v>9</v>
      </c>
      <c r="B13" s="56" t="s">
        <v>10</v>
      </c>
      <c r="C13" s="53">
        <v>-1000</v>
      </c>
      <c r="D13" s="53"/>
      <c r="E13" s="53">
        <f>C13+D13</f>
        <v>-1000</v>
      </c>
      <c r="F13" s="53"/>
      <c r="G13" s="53">
        <f>E13+F13</f>
        <v>-1000</v>
      </c>
      <c r="H13" s="53">
        <v>-500</v>
      </c>
      <c r="I13" s="53">
        <f>G13+H13</f>
        <v>-1500</v>
      </c>
      <c r="J13" s="53">
        <v>-1500</v>
      </c>
      <c r="K13" s="53">
        <f>J13*104.2%</f>
        <v>-1563</v>
      </c>
      <c r="L13" s="176">
        <f>K13*104.4%</f>
        <v>-1631.7720000000002</v>
      </c>
    </row>
    <row r="14" spans="1:17" s="77" customFormat="1" ht="13.5" thickBot="1" x14ac:dyDescent="0.35">
      <c r="A14" s="57" t="s">
        <v>66</v>
      </c>
      <c r="B14" s="57"/>
      <c r="C14" s="59">
        <f t="shared" ref="C14:L14" si="1">SUM(C13)</f>
        <v>-1000</v>
      </c>
      <c r="D14" s="59">
        <f t="shared" si="1"/>
        <v>0</v>
      </c>
      <c r="E14" s="59">
        <f t="shared" si="1"/>
        <v>-1000</v>
      </c>
      <c r="F14" s="59">
        <f t="shared" si="1"/>
        <v>0</v>
      </c>
      <c r="G14" s="59">
        <f t="shared" si="1"/>
        <v>-1000</v>
      </c>
      <c r="H14" s="59">
        <f t="shared" si="1"/>
        <v>-500</v>
      </c>
      <c r="I14" s="59">
        <f t="shared" si="1"/>
        <v>-1500</v>
      </c>
      <c r="J14" s="59">
        <f t="shared" si="1"/>
        <v>-1500</v>
      </c>
      <c r="K14" s="59">
        <f t="shared" si="1"/>
        <v>-1563</v>
      </c>
      <c r="L14" s="59">
        <f t="shared" si="1"/>
        <v>-1631.7720000000002</v>
      </c>
      <c r="M14" s="180"/>
      <c r="N14" s="193"/>
      <c r="O14" s="193"/>
      <c r="P14" s="193"/>
    </row>
    <row r="15" spans="1:17" s="77" customFormat="1" ht="13.5" thickTop="1" x14ac:dyDescent="0.3">
      <c r="A15" s="60"/>
      <c r="B15" s="60"/>
      <c r="C15" s="78"/>
      <c r="D15" s="78"/>
      <c r="E15" s="78"/>
      <c r="F15" s="78"/>
      <c r="G15" s="78"/>
      <c r="H15" s="78"/>
      <c r="I15" s="78"/>
      <c r="J15" s="78"/>
      <c r="K15" s="78"/>
      <c r="L15" s="178"/>
      <c r="M15" s="180"/>
      <c r="N15" s="193"/>
      <c r="O15" s="193"/>
      <c r="P15" s="193"/>
    </row>
    <row r="16" spans="1:17" x14ac:dyDescent="0.3">
      <c r="A16" s="51" t="s">
        <v>68</v>
      </c>
      <c r="B16" s="52"/>
      <c r="C16" s="53"/>
      <c r="D16" s="53"/>
      <c r="E16" s="53">
        <f t="shared" ref="E16:E81" si="2">C16+D16</f>
        <v>0</v>
      </c>
      <c r="F16" s="53"/>
      <c r="G16" s="53"/>
      <c r="H16" s="53"/>
      <c r="I16" s="53"/>
      <c r="J16" s="53"/>
      <c r="K16" s="53"/>
      <c r="L16" s="176"/>
    </row>
    <row r="17" spans="1:17" x14ac:dyDescent="0.3">
      <c r="A17" s="52" t="s">
        <v>565</v>
      </c>
      <c r="B17" s="52" t="s">
        <v>566</v>
      </c>
      <c r="C17" s="53">
        <v>-300000</v>
      </c>
      <c r="D17" s="53"/>
      <c r="E17" s="53">
        <f t="shared" si="2"/>
        <v>-300000</v>
      </c>
      <c r="F17" s="53"/>
      <c r="G17" s="53">
        <f>E17+F17</f>
        <v>-300000</v>
      </c>
      <c r="H17" s="53">
        <v>100000</v>
      </c>
      <c r="I17" s="53">
        <f>G17+H17</f>
        <v>-200000</v>
      </c>
      <c r="J17" s="53">
        <v>-150000</v>
      </c>
      <c r="K17" s="53">
        <f t="shared" ref="K17:K19" si="3">J17*104.2%</f>
        <v>-156300</v>
      </c>
      <c r="L17" s="176">
        <f t="shared" ref="L17:L19" si="4">K17*104.4%</f>
        <v>-163177.20000000001</v>
      </c>
    </row>
    <row r="18" spans="1:17" x14ac:dyDescent="0.3">
      <c r="A18" s="52" t="s">
        <v>563</v>
      </c>
      <c r="B18" s="52" t="s">
        <v>564</v>
      </c>
      <c r="C18" s="53">
        <v>-50000</v>
      </c>
      <c r="D18" s="53"/>
      <c r="E18" s="53">
        <f t="shared" si="2"/>
        <v>-50000</v>
      </c>
      <c r="F18" s="53"/>
      <c r="G18" s="53">
        <f>E18+F18</f>
        <v>-50000</v>
      </c>
      <c r="H18" s="53">
        <v>-300000</v>
      </c>
      <c r="I18" s="53">
        <f>G18+H18</f>
        <v>-350000</v>
      </c>
      <c r="J18" s="53">
        <v>-100000</v>
      </c>
      <c r="K18" s="53">
        <f t="shared" si="3"/>
        <v>-104200</v>
      </c>
      <c r="L18" s="176">
        <f t="shared" si="4"/>
        <v>-108784.8</v>
      </c>
    </row>
    <row r="19" spans="1:17" ht="13.5" thickBot="1" x14ac:dyDescent="0.35">
      <c r="A19" s="56" t="s">
        <v>567</v>
      </c>
      <c r="B19" s="56" t="s">
        <v>568</v>
      </c>
      <c r="C19" s="53">
        <v>-100000</v>
      </c>
      <c r="D19" s="53"/>
      <c r="E19" s="53">
        <f t="shared" si="2"/>
        <v>-100000</v>
      </c>
      <c r="F19" s="53"/>
      <c r="G19" s="53">
        <f>E19+F19</f>
        <v>-100000</v>
      </c>
      <c r="H19" s="53"/>
      <c r="I19" s="53">
        <f>G19+H19</f>
        <v>-100000</v>
      </c>
      <c r="J19" s="53">
        <v>-100000</v>
      </c>
      <c r="K19" s="53">
        <f t="shared" si="3"/>
        <v>-104200</v>
      </c>
      <c r="L19" s="176">
        <f t="shared" si="4"/>
        <v>-108784.8</v>
      </c>
    </row>
    <row r="20" spans="1:17" s="77" customFormat="1" ht="13.5" thickBot="1" x14ac:dyDescent="0.35">
      <c r="A20" s="57" t="s">
        <v>66</v>
      </c>
      <c r="B20" s="57"/>
      <c r="C20" s="59">
        <f t="shared" ref="C20:L20" si="5">SUM(C17:C19)</f>
        <v>-450000</v>
      </c>
      <c r="D20" s="59">
        <f t="shared" si="5"/>
        <v>0</v>
      </c>
      <c r="E20" s="59">
        <f t="shared" si="5"/>
        <v>-450000</v>
      </c>
      <c r="F20" s="59">
        <f t="shared" si="5"/>
        <v>0</v>
      </c>
      <c r="G20" s="59">
        <f t="shared" si="5"/>
        <v>-450000</v>
      </c>
      <c r="H20" s="59">
        <f t="shared" si="5"/>
        <v>-200000</v>
      </c>
      <c r="I20" s="59">
        <f t="shared" si="5"/>
        <v>-650000</v>
      </c>
      <c r="J20" s="59">
        <f t="shared" si="5"/>
        <v>-350000</v>
      </c>
      <c r="K20" s="59">
        <f t="shared" si="5"/>
        <v>-364700</v>
      </c>
      <c r="L20" s="59">
        <f t="shared" si="5"/>
        <v>-380746.8</v>
      </c>
      <c r="M20" s="180"/>
      <c r="N20" s="193"/>
      <c r="O20" s="193"/>
      <c r="P20" s="193"/>
    </row>
    <row r="21" spans="1:17" s="77" customFormat="1" ht="13.5" thickTop="1" x14ac:dyDescent="0.3">
      <c r="A21" s="60"/>
      <c r="B21" s="60"/>
      <c r="C21" s="78"/>
      <c r="D21" s="78"/>
      <c r="E21" s="53">
        <f t="shared" si="2"/>
        <v>0</v>
      </c>
      <c r="F21" s="62"/>
      <c r="G21" s="62"/>
      <c r="H21" s="62"/>
      <c r="I21" s="62"/>
      <c r="J21" s="62"/>
      <c r="K21" s="78"/>
      <c r="L21" s="178"/>
      <c r="M21" s="180"/>
      <c r="N21" s="193"/>
      <c r="O21" s="193"/>
      <c r="P21" s="193"/>
    </row>
    <row r="22" spans="1:17" x14ac:dyDescent="0.3">
      <c r="A22" s="51" t="s">
        <v>69</v>
      </c>
      <c r="B22" s="52"/>
      <c r="C22" s="53"/>
      <c r="D22" s="53"/>
      <c r="E22" s="53">
        <f t="shared" si="2"/>
        <v>0</v>
      </c>
      <c r="F22" s="53"/>
      <c r="G22" s="53"/>
      <c r="H22" s="53"/>
      <c r="I22" s="53"/>
      <c r="J22" s="53"/>
      <c r="K22" s="53"/>
      <c r="L22" s="176"/>
    </row>
    <row r="23" spans="1:17" x14ac:dyDescent="0.3">
      <c r="A23" s="52" t="s">
        <v>11</v>
      </c>
      <c r="B23" s="52" t="s">
        <v>12</v>
      </c>
      <c r="C23" s="53">
        <v>-5000</v>
      </c>
      <c r="D23" s="53"/>
      <c r="E23" s="53">
        <f t="shared" si="2"/>
        <v>-5000</v>
      </c>
      <c r="F23" s="53"/>
      <c r="G23" s="53">
        <f>E23+F23</f>
        <v>-5000</v>
      </c>
      <c r="H23" s="53"/>
      <c r="I23" s="53">
        <f>G23+H23</f>
        <v>-5000</v>
      </c>
      <c r="J23" s="53">
        <f t="shared" ref="J23:J24" si="6">I23*104%</f>
        <v>-5200</v>
      </c>
      <c r="K23" s="53">
        <f t="shared" ref="K23:K24" si="7">J23*104.2%</f>
        <v>-5418.4000000000005</v>
      </c>
      <c r="L23" s="176">
        <f t="shared" ref="L23:L24" si="8">K23*104.4%</f>
        <v>-5656.8096000000005</v>
      </c>
    </row>
    <row r="24" spans="1:17" ht="13.5" thickBot="1" x14ac:dyDescent="0.35">
      <c r="A24" s="52" t="s">
        <v>579</v>
      </c>
      <c r="B24" s="52" t="s">
        <v>13</v>
      </c>
      <c r="C24" s="53">
        <v>-600000</v>
      </c>
      <c r="D24" s="53"/>
      <c r="E24" s="53">
        <f t="shared" si="2"/>
        <v>-600000</v>
      </c>
      <c r="F24" s="53"/>
      <c r="G24" s="53">
        <f>E24+F24</f>
        <v>-600000</v>
      </c>
      <c r="H24" s="53">
        <v>92045.479999999981</v>
      </c>
      <c r="I24" s="53">
        <f>G24+H24</f>
        <v>-507954.52</v>
      </c>
      <c r="J24" s="53">
        <f t="shared" si="6"/>
        <v>-528272.70079999999</v>
      </c>
      <c r="K24" s="53">
        <f t="shared" si="7"/>
        <v>-550460.15423360001</v>
      </c>
      <c r="L24" s="176">
        <f t="shared" si="8"/>
        <v>-574680.40101987845</v>
      </c>
      <c r="Q24" s="93"/>
    </row>
    <row r="25" spans="1:17" s="77" customFormat="1" ht="13.5" thickBot="1" x14ac:dyDescent="0.35">
      <c r="A25" s="57" t="s">
        <v>66</v>
      </c>
      <c r="B25" s="57"/>
      <c r="C25" s="59">
        <f>SUM(C23:C24)</f>
        <v>-605000</v>
      </c>
      <c r="D25" s="59">
        <f t="shared" ref="D25:L25" si="9">SUM(D23:D24)</f>
        <v>0</v>
      </c>
      <c r="E25" s="59">
        <f t="shared" si="9"/>
        <v>-605000</v>
      </c>
      <c r="F25" s="59">
        <f t="shared" si="9"/>
        <v>0</v>
      </c>
      <c r="G25" s="59">
        <f t="shared" si="9"/>
        <v>-605000</v>
      </c>
      <c r="H25" s="59">
        <f t="shared" si="9"/>
        <v>92045.479999999981</v>
      </c>
      <c r="I25" s="59">
        <f t="shared" si="9"/>
        <v>-512954.52</v>
      </c>
      <c r="J25" s="59">
        <f t="shared" si="9"/>
        <v>-533472.70079999999</v>
      </c>
      <c r="K25" s="59">
        <f t="shared" si="9"/>
        <v>-555878.55423360004</v>
      </c>
      <c r="L25" s="59">
        <f t="shared" si="9"/>
        <v>-580337.21061987849</v>
      </c>
      <c r="M25" s="180"/>
      <c r="N25" s="193"/>
      <c r="O25" s="193"/>
      <c r="P25" s="193"/>
    </row>
    <row r="26" spans="1:17" s="77" customFormat="1" ht="13.5" thickTop="1" x14ac:dyDescent="0.3">
      <c r="A26" s="60"/>
      <c r="B26" s="60"/>
      <c r="C26" s="78"/>
      <c r="D26" s="78"/>
      <c r="E26" s="53">
        <f t="shared" si="2"/>
        <v>0</v>
      </c>
      <c r="F26" s="62"/>
      <c r="G26" s="62"/>
      <c r="H26" s="62"/>
      <c r="I26" s="62"/>
      <c r="J26" s="62"/>
      <c r="K26" s="78"/>
      <c r="L26" s="178"/>
      <c r="M26" s="180"/>
      <c r="N26" s="193"/>
      <c r="O26" s="193"/>
      <c r="P26" s="193"/>
    </row>
    <row r="27" spans="1:17" x14ac:dyDescent="0.3">
      <c r="A27" s="51" t="s">
        <v>70</v>
      </c>
      <c r="B27" s="52"/>
      <c r="C27" s="53"/>
      <c r="D27" s="53"/>
      <c r="E27" s="53">
        <f t="shared" si="2"/>
        <v>0</v>
      </c>
      <c r="F27" s="53"/>
      <c r="G27" s="53"/>
      <c r="H27" s="53"/>
      <c r="I27" s="53"/>
      <c r="J27" s="53"/>
      <c r="K27" s="53"/>
      <c r="L27" s="176"/>
    </row>
    <row r="28" spans="1:17" x14ac:dyDescent="0.3">
      <c r="A28" s="52" t="s">
        <v>577</v>
      </c>
      <c r="B28" s="52" t="s">
        <v>576</v>
      </c>
      <c r="C28" s="53">
        <v>-100000</v>
      </c>
      <c r="D28" s="53"/>
      <c r="E28" s="53">
        <f t="shared" si="2"/>
        <v>-100000</v>
      </c>
      <c r="F28" s="53"/>
      <c r="G28" s="53">
        <f>E28+F28</f>
        <v>-100000</v>
      </c>
      <c r="H28" s="53">
        <v>-400000</v>
      </c>
      <c r="I28" s="53">
        <f>G28+H28</f>
        <v>-500000</v>
      </c>
      <c r="J28" s="53">
        <v>-200000</v>
      </c>
      <c r="K28" s="53">
        <f t="shared" ref="K28:K31" si="10">J28*104.2%</f>
        <v>-208400</v>
      </c>
      <c r="L28" s="176">
        <f t="shared" ref="L28:L31" si="11">K28*104.4%</f>
        <v>-217569.6</v>
      </c>
    </row>
    <row r="29" spans="1:17" x14ac:dyDescent="0.3">
      <c r="A29" s="52" t="s">
        <v>438</v>
      </c>
      <c r="B29" s="52" t="s">
        <v>672</v>
      </c>
      <c r="C29" s="53">
        <v>-2000</v>
      </c>
      <c r="D29" s="53"/>
      <c r="E29" s="53">
        <f t="shared" si="2"/>
        <v>-2000</v>
      </c>
      <c r="F29" s="53"/>
      <c r="G29" s="53">
        <f>E29+F29</f>
        <v>-2000</v>
      </c>
      <c r="H29" s="53">
        <v>1000</v>
      </c>
      <c r="I29" s="53">
        <f>G29+H29</f>
        <v>-1000</v>
      </c>
      <c r="J29" s="53">
        <v>-1000</v>
      </c>
      <c r="K29" s="53">
        <f t="shared" si="10"/>
        <v>-1042</v>
      </c>
      <c r="L29" s="176">
        <f t="shared" si="11"/>
        <v>-1087.848</v>
      </c>
    </row>
    <row r="30" spans="1:17" x14ac:dyDescent="0.3">
      <c r="A30" s="56" t="s">
        <v>562</v>
      </c>
      <c r="B30" s="56" t="s">
        <v>561</v>
      </c>
      <c r="C30" s="53">
        <v>-1000</v>
      </c>
      <c r="D30" s="53"/>
      <c r="E30" s="53">
        <f t="shared" si="2"/>
        <v>-1000</v>
      </c>
      <c r="F30" s="53"/>
      <c r="G30" s="53">
        <f>E30+F30</f>
        <v>-1000</v>
      </c>
      <c r="H30" s="53">
        <v>-4000</v>
      </c>
      <c r="I30" s="53">
        <f>G30+H30</f>
        <v>-5000</v>
      </c>
      <c r="J30" s="53">
        <v>-2500</v>
      </c>
      <c r="K30" s="53">
        <f t="shared" si="10"/>
        <v>-2605</v>
      </c>
      <c r="L30" s="176">
        <f t="shared" si="11"/>
        <v>-2719.62</v>
      </c>
    </row>
    <row r="31" spans="1:17" x14ac:dyDescent="0.3">
      <c r="A31" s="73" t="s">
        <v>1449</v>
      </c>
      <c r="B31" s="73" t="s">
        <v>716</v>
      </c>
      <c r="C31" s="53">
        <v>-5000</v>
      </c>
      <c r="D31" s="53"/>
      <c r="E31" s="53">
        <f t="shared" si="2"/>
        <v>-5000</v>
      </c>
      <c r="F31" s="53"/>
      <c r="G31" s="53">
        <f>E31+F31</f>
        <v>-5000</v>
      </c>
      <c r="H31" s="53">
        <v>3000</v>
      </c>
      <c r="I31" s="53">
        <f>G31+H31</f>
        <v>-2000</v>
      </c>
      <c r="J31" s="53">
        <v>-2000</v>
      </c>
      <c r="K31" s="53">
        <f t="shared" si="10"/>
        <v>-2084</v>
      </c>
      <c r="L31" s="176">
        <f t="shared" si="11"/>
        <v>-2175.6959999999999</v>
      </c>
    </row>
    <row r="32" spans="1:17" ht="13.5" thickBot="1" x14ac:dyDescent="0.35">
      <c r="A32" s="73" t="s">
        <v>437</v>
      </c>
      <c r="B32" s="73" t="s">
        <v>430</v>
      </c>
      <c r="C32" s="53">
        <v>0</v>
      </c>
      <c r="D32" s="53"/>
      <c r="E32" s="53">
        <f t="shared" si="2"/>
        <v>0</v>
      </c>
      <c r="F32" s="53"/>
      <c r="G32" s="53">
        <f>E32+F32</f>
        <v>0</v>
      </c>
      <c r="H32" s="53"/>
      <c r="I32" s="53">
        <f>G32+H32</f>
        <v>0</v>
      </c>
      <c r="J32" s="53"/>
      <c r="K32" s="53">
        <f>C32*104.6%</f>
        <v>0</v>
      </c>
      <c r="L32" s="176">
        <f t="shared" ref="L32" si="12">K32*104.6%</f>
        <v>0</v>
      </c>
    </row>
    <row r="33" spans="1:16" s="77" customFormat="1" ht="13.5" thickBot="1" x14ac:dyDescent="0.35">
      <c r="A33" s="57" t="s">
        <v>66</v>
      </c>
      <c r="B33" s="57"/>
      <c r="C33" s="59">
        <f t="shared" ref="C33:L33" si="13">SUM(C28:C32)</f>
        <v>-108000</v>
      </c>
      <c r="D33" s="59">
        <f t="shared" si="13"/>
        <v>0</v>
      </c>
      <c r="E33" s="59">
        <f t="shared" si="13"/>
        <v>-108000</v>
      </c>
      <c r="F33" s="59">
        <f t="shared" si="13"/>
        <v>0</v>
      </c>
      <c r="G33" s="59">
        <f t="shared" si="13"/>
        <v>-108000</v>
      </c>
      <c r="H33" s="59">
        <f t="shared" si="13"/>
        <v>-400000</v>
      </c>
      <c r="I33" s="59">
        <f t="shared" si="13"/>
        <v>-508000</v>
      </c>
      <c r="J33" s="59">
        <f t="shared" si="13"/>
        <v>-205500</v>
      </c>
      <c r="K33" s="59">
        <f t="shared" si="13"/>
        <v>-214131</v>
      </c>
      <c r="L33" s="177">
        <f t="shared" si="13"/>
        <v>-223552.764</v>
      </c>
      <c r="M33" s="180"/>
      <c r="N33" s="193"/>
      <c r="O33" s="193"/>
      <c r="P33" s="193"/>
    </row>
    <row r="34" spans="1:16" s="77" customFormat="1" ht="13.5" thickTop="1" x14ac:dyDescent="0.3">
      <c r="A34" s="60"/>
      <c r="B34" s="60"/>
      <c r="C34" s="78"/>
      <c r="D34" s="78"/>
      <c r="E34" s="53">
        <f t="shared" si="2"/>
        <v>0</v>
      </c>
      <c r="F34" s="62"/>
      <c r="G34" s="62"/>
      <c r="H34" s="62"/>
      <c r="I34" s="62"/>
      <c r="J34" s="62"/>
      <c r="K34" s="78"/>
      <c r="L34" s="178"/>
      <c r="M34" s="180"/>
      <c r="N34" s="193"/>
      <c r="O34" s="193"/>
      <c r="P34" s="193"/>
    </row>
    <row r="35" spans="1:16" x14ac:dyDescent="0.3">
      <c r="A35" s="51" t="s">
        <v>71</v>
      </c>
      <c r="B35" s="52"/>
      <c r="C35" s="53"/>
      <c r="D35" s="53"/>
      <c r="E35" s="53">
        <f t="shared" si="2"/>
        <v>0</v>
      </c>
      <c r="F35" s="53"/>
      <c r="G35" s="53"/>
      <c r="H35" s="53"/>
      <c r="I35" s="53"/>
      <c r="J35" s="53"/>
      <c r="K35" s="53"/>
      <c r="L35" s="176"/>
    </row>
    <row r="36" spans="1:16" x14ac:dyDescent="0.3">
      <c r="A36" s="52" t="s">
        <v>560</v>
      </c>
      <c r="B36" s="52" t="s">
        <v>14</v>
      </c>
      <c r="C36" s="53">
        <v>-2862112.5</v>
      </c>
      <c r="D36" s="53"/>
      <c r="E36" s="53">
        <f t="shared" si="2"/>
        <v>-2862112.5</v>
      </c>
      <c r="F36" s="53"/>
      <c r="G36" s="53">
        <f t="shared" ref="G36:G44" si="14">E36+F36</f>
        <v>-2862112.5</v>
      </c>
      <c r="H36" s="53"/>
      <c r="I36" s="53">
        <f t="shared" ref="I36:I44" si="15">G36+H36</f>
        <v>-2862112.5</v>
      </c>
      <c r="J36" s="53">
        <f>I36*104%</f>
        <v>-2976597</v>
      </c>
      <c r="K36" s="53">
        <f t="shared" ref="K36:K45" si="16">J36*104.2%</f>
        <v>-3101614.074</v>
      </c>
      <c r="L36" s="176">
        <f t="shared" ref="L36:L45" si="17">K36*104.4%</f>
        <v>-3238085.093256</v>
      </c>
    </row>
    <row r="37" spans="1:16" x14ac:dyDescent="0.3">
      <c r="A37" s="52" t="s">
        <v>666</v>
      </c>
      <c r="B37" s="52" t="s">
        <v>15</v>
      </c>
      <c r="C37" s="53">
        <v>0</v>
      </c>
      <c r="D37" s="53"/>
      <c r="E37" s="53">
        <f t="shared" si="2"/>
        <v>0</v>
      </c>
      <c r="F37" s="53"/>
      <c r="G37" s="53">
        <f t="shared" si="14"/>
        <v>0</v>
      </c>
      <c r="H37" s="53"/>
      <c r="I37" s="53">
        <f t="shared" si="15"/>
        <v>0</v>
      </c>
      <c r="J37" s="53">
        <f t="shared" ref="J37:J44" si="18">I37*104%</f>
        <v>0</v>
      </c>
      <c r="K37" s="53">
        <f t="shared" si="16"/>
        <v>0</v>
      </c>
      <c r="L37" s="176">
        <f t="shared" si="17"/>
        <v>0</v>
      </c>
    </row>
    <row r="38" spans="1:16" x14ac:dyDescent="0.3">
      <c r="A38" s="52" t="s">
        <v>574</v>
      </c>
      <c r="B38" s="52" t="s">
        <v>16</v>
      </c>
      <c r="C38" s="53">
        <v>-1030727.65</v>
      </c>
      <c r="D38" s="53"/>
      <c r="E38" s="53">
        <f t="shared" si="2"/>
        <v>-1030727.65</v>
      </c>
      <c r="F38" s="53"/>
      <c r="G38" s="53">
        <f t="shared" si="14"/>
        <v>-1030727.65</v>
      </c>
      <c r="H38" s="53"/>
      <c r="I38" s="53">
        <f t="shared" si="15"/>
        <v>-1030727.65</v>
      </c>
      <c r="J38" s="53">
        <f t="shared" si="18"/>
        <v>-1071956.7560000001</v>
      </c>
      <c r="K38" s="53">
        <f t="shared" si="16"/>
        <v>-1116978.9397520002</v>
      </c>
      <c r="L38" s="176">
        <f t="shared" si="17"/>
        <v>-1166126.0131010881</v>
      </c>
    </row>
    <row r="39" spans="1:16" x14ac:dyDescent="0.3">
      <c r="A39" s="52" t="s">
        <v>575</v>
      </c>
      <c r="B39" s="52" t="s">
        <v>17</v>
      </c>
      <c r="C39" s="53">
        <v>-274010.15999999997</v>
      </c>
      <c r="D39" s="53"/>
      <c r="E39" s="53">
        <f t="shared" si="2"/>
        <v>-274010.15999999997</v>
      </c>
      <c r="F39" s="53"/>
      <c r="G39" s="53">
        <f t="shared" si="14"/>
        <v>-274010.15999999997</v>
      </c>
      <c r="H39" s="53"/>
      <c r="I39" s="53">
        <f t="shared" si="15"/>
        <v>-274010.15999999997</v>
      </c>
      <c r="J39" s="53">
        <f t="shared" si="18"/>
        <v>-284970.56640000001</v>
      </c>
      <c r="K39" s="53">
        <f t="shared" si="16"/>
        <v>-296939.3301888</v>
      </c>
      <c r="L39" s="176">
        <f t="shared" si="17"/>
        <v>-310004.66071710724</v>
      </c>
    </row>
    <row r="40" spans="1:16" x14ac:dyDescent="0.3">
      <c r="A40" s="52" t="s">
        <v>1450</v>
      </c>
      <c r="B40" s="52" t="s">
        <v>18</v>
      </c>
      <c r="C40" s="53">
        <v>-613.08000000000004</v>
      </c>
      <c r="D40" s="53"/>
      <c r="E40" s="53">
        <f t="shared" si="2"/>
        <v>-613.08000000000004</v>
      </c>
      <c r="F40" s="53"/>
      <c r="G40" s="53">
        <f t="shared" si="14"/>
        <v>-613.08000000000004</v>
      </c>
      <c r="H40" s="53"/>
      <c r="I40" s="53">
        <f t="shared" si="15"/>
        <v>-613.08000000000004</v>
      </c>
      <c r="J40" s="53">
        <f t="shared" si="18"/>
        <v>-637.60320000000002</v>
      </c>
      <c r="K40" s="53">
        <f t="shared" si="16"/>
        <v>-664.38253440000005</v>
      </c>
      <c r="L40" s="176">
        <f t="shared" si="17"/>
        <v>-693.61536591360004</v>
      </c>
    </row>
    <row r="41" spans="1:16" x14ac:dyDescent="0.3">
      <c r="A41" s="52" t="s">
        <v>572</v>
      </c>
      <c r="B41" s="52" t="s">
        <v>19</v>
      </c>
      <c r="C41" s="53">
        <v>-39140</v>
      </c>
      <c r="D41" s="53"/>
      <c r="E41" s="53">
        <f t="shared" si="2"/>
        <v>-39140</v>
      </c>
      <c r="F41" s="53"/>
      <c r="G41" s="53">
        <f t="shared" si="14"/>
        <v>-39140</v>
      </c>
      <c r="H41" s="53"/>
      <c r="I41" s="53">
        <f t="shared" si="15"/>
        <v>-39140</v>
      </c>
      <c r="J41" s="53">
        <f t="shared" si="18"/>
        <v>-40705.599999999999</v>
      </c>
      <c r="K41" s="53">
        <f t="shared" si="16"/>
        <v>-42415.235200000003</v>
      </c>
      <c r="L41" s="176">
        <f t="shared" si="17"/>
        <v>-44281.505548800007</v>
      </c>
    </row>
    <row r="42" spans="1:16" x14ac:dyDescent="0.3">
      <c r="A42" s="52" t="s">
        <v>1451</v>
      </c>
      <c r="B42" s="52" t="s">
        <v>20</v>
      </c>
      <c r="C42" s="53">
        <v>-26537.02</v>
      </c>
      <c r="D42" s="53"/>
      <c r="E42" s="53">
        <f t="shared" si="2"/>
        <v>-26537.02</v>
      </c>
      <c r="F42" s="53"/>
      <c r="G42" s="53">
        <f t="shared" si="14"/>
        <v>-26537.02</v>
      </c>
      <c r="H42" s="53"/>
      <c r="I42" s="53">
        <f t="shared" si="15"/>
        <v>-26537.02</v>
      </c>
      <c r="J42" s="53">
        <f t="shared" si="18"/>
        <v>-27598.500800000002</v>
      </c>
      <c r="K42" s="53">
        <f t="shared" si="16"/>
        <v>-28757.637833600002</v>
      </c>
      <c r="L42" s="176">
        <f t="shared" si="17"/>
        <v>-30022.973898278404</v>
      </c>
    </row>
    <row r="43" spans="1:16" x14ac:dyDescent="0.3">
      <c r="A43" s="52" t="s">
        <v>1452</v>
      </c>
      <c r="B43" s="52" t="s">
        <v>21</v>
      </c>
      <c r="C43" s="53">
        <v>-7860</v>
      </c>
      <c r="D43" s="53"/>
      <c r="E43" s="53">
        <f t="shared" si="2"/>
        <v>-7860</v>
      </c>
      <c r="F43" s="53"/>
      <c r="G43" s="53">
        <f t="shared" si="14"/>
        <v>-7860</v>
      </c>
      <c r="H43" s="53"/>
      <c r="I43" s="53">
        <f t="shared" si="15"/>
        <v>-7860</v>
      </c>
      <c r="J43" s="53">
        <f t="shared" si="18"/>
        <v>-8174.4000000000005</v>
      </c>
      <c r="K43" s="53">
        <f t="shared" si="16"/>
        <v>-8517.7248000000018</v>
      </c>
      <c r="L43" s="176">
        <f t="shared" si="17"/>
        <v>-8892.5046912000016</v>
      </c>
    </row>
    <row r="44" spans="1:16" x14ac:dyDescent="0.3">
      <c r="A44" s="52" t="s">
        <v>573</v>
      </c>
      <c r="B44" s="52" t="s">
        <v>22</v>
      </c>
      <c r="C44" s="53">
        <v>-14747934.75</v>
      </c>
      <c r="D44" s="53"/>
      <c r="E44" s="53">
        <f t="shared" si="2"/>
        <v>-14747934.75</v>
      </c>
      <c r="F44" s="53"/>
      <c r="G44" s="53">
        <f t="shared" si="14"/>
        <v>-14747934.75</v>
      </c>
      <c r="H44" s="53"/>
      <c r="I44" s="53">
        <f t="shared" si="15"/>
        <v>-14747934.75</v>
      </c>
      <c r="J44" s="53">
        <f t="shared" si="18"/>
        <v>-15337852.140000001</v>
      </c>
      <c r="K44" s="53">
        <f t="shared" si="16"/>
        <v>-15982041.929880001</v>
      </c>
      <c r="L44" s="176">
        <f t="shared" si="17"/>
        <v>-16685251.774794722</v>
      </c>
    </row>
    <row r="45" spans="1:16" x14ac:dyDescent="0.3">
      <c r="A45" s="52" t="s">
        <v>1324</v>
      </c>
      <c r="B45" s="52" t="s">
        <v>1325</v>
      </c>
      <c r="C45" s="53"/>
      <c r="D45" s="53"/>
      <c r="E45" s="53"/>
      <c r="F45" s="53"/>
      <c r="G45" s="53">
        <v>0</v>
      </c>
      <c r="H45" s="53"/>
      <c r="I45" s="53"/>
      <c r="J45" s="53"/>
      <c r="K45" s="53">
        <f t="shared" si="16"/>
        <v>0</v>
      </c>
      <c r="L45" s="176">
        <f t="shared" si="17"/>
        <v>0</v>
      </c>
    </row>
    <row r="46" spans="1:16" ht="13.5" thickBot="1" x14ac:dyDescent="0.35">
      <c r="A46" s="52" t="s">
        <v>614</v>
      </c>
      <c r="B46" s="52" t="s">
        <v>615</v>
      </c>
      <c r="C46" s="53">
        <v>0</v>
      </c>
      <c r="D46" s="53"/>
      <c r="E46" s="53">
        <f t="shared" si="2"/>
        <v>0</v>
      </c>
      <c r="F46" s="53"/>
      <c r="G46" s="53">
        <f>E46+F46</f>
        <v>0</v>
      </c>
      <c r="H46" s="53"/>
      <c r="I46" s="53">
        <f>G46+H46</f>
        <v>0</v>
      </c>
      <c r="J46" s="53"/>
      <c r="K46" s="53">
        <f>C46*104.6%</f>
        <v>0</v>
      </c>
      <c r="L46" s="176">
        <f t="shared" ref="L46" si="19">K46*104.6%</f>
        <v>0</v>
      </c>
    </row>
    <row r="47" spans="1:16" s="77" customFormat="1" ht="13.5" thickBot="1" x14ac:dyDescent="0.35">
      <c r="A47" s="57" t="s">
        <v>66</v>
      </c>
      <c r="B47" s="57"/>
      <c r="C47" s="59">
        <f>SUM(C36:C46)</f>
        <v>-18988935.16</v>
      </c>
      <c r="D47" s="59">
        <f t="shared" ref="D47:L47" si="20">SUM(D36:D46)</f>
        <v>0</v>
      </c>
      <c r="E47" s="59">
        <f t="shared" si="20"/>
        <v>-18988935.16</v>
      </c>
      <c r="F47" s="59">
        <f t="shared" si="20"/>
        <v>0</v>
      </c>
      <c r="G47" s="59">
        <f t="shared" si="20"/>
        <v>-18988935.16</v>
      </c>
      <c r="H47" s="59">
        <f t="shared" si="20"/>
        <v>0</v>
      </c>
      <c r="I47" s="59">
        <f t="shared" si="20"/>
        <v>-18988935.16</v>
      </c>
      <c r="J47" s="59">
        <f t="shared" si="20"/>
        <v>-19748492.566399999</v>
      </c>
      <c r="K47" s="59">
        <f t="shared" si="20"/>
        <v>-20577929.254188798</v>
      </c>
      <c r="L47" s="177">
        <f t="shared" si="20"/>
        <v>-21483358.141373109</v>
      </c>
      <c r="M47" s="180"/>
      <c r="N47" s="193"/>
      <c r="O47" s="193"/>
      <c r="P47" s="193"/>
    </row>
    <row r="48" spans="1:16" s="77" customFormat="1" ht="13.5" thickTop="1" x14ac:dyDescent="0.3">
      <c r="A48" s="60"/>
      <c r="B48" s="60"/>
      <c r="C48" s="78"/>
      <c r="D48" s="78"/>
      <c r="E48" s="53">
        <f t="shared" si="2"/>
        <v>0</v>
      </c>
      <c r="F48" s="62"/>
      <c r="G48" s="62"/>
      <c r="H48" s="62"/>
      <c r="I48" s="62"/>
      <c r="J48" s="62"/>
      <c r="K48" s="78"/>
      <c r="L48" s="178"/>
      <c r="M48" s="180"/>
      <c r="N48" s="193"/>
      <c r="O48" s="193"/>
      <c r="P48" s="193"/>
    </row>
    <row r="49" spans="1:16" x14ac:dyDescent="0.3">
      <c r="A49" s="51" t="s">
        <v>72</v>
      </c>
      <c r="B49" s="52"/>
      <c r="C49" s="53"/>
      <c r="D49" s="53"/>
      <c r="E49" s="53">
        <f t="shared" si="2"/>
        <v>0</v>
      </c>
      <c r="F49" s="53"/>
      <c r="G49" s="53"/>
      <c r="H49" s="53"/>
      <c r="I49" s="53"/>
      <c r="J49" s="53"/>
      <c r="K49" s="53"/>
      <c r="L49" s="176"/>
    </row>
    <row r="50" spans="1:16" x14ac:dyDescent="0.3">
      <c r="A50" s="52" t="s">
        <v>444</v>
      </c>
      <c r="B50" s="52" t="s">
        <v>673</v>
      </c>
      <c r="C50" s="53">
        <v>-2800000</v>
      </c>
      <c r="D50" s="53"/>
      <c r="E50" s="53">
        <f t="shared" si="2"/>
        <v>-2800000</v>
      </c>
      <c r="F50" s="53"/>
      <c r="G50" s="53">
        <f>E50+F50</f>
        <v>-2800000</v>
      </c>
      <c r="H50" s="53"/>
      <c r="I50" s="53">
        <f>G50+H50</f>
        <v>-2800000</v>
      </c>
      <c r="J50" s="53">
        <v>-3000000</v>
      </c>
      <c r="K50" s="53">
        <v>-3100000</v>
      </c>
      <c r="L50" s="179">
        <v>-3100000</v>
      </c>
    </row>
    <row r="51" spans="1:16" ht="13.5" thickBot="1" x14ac:dyDescent="0.35">
      <c r="A51" s="56" t="s">
        <v>571</v>
      </c>
      <c r="B51" s="56" t="s">
        <v>23</v>
      </c>
      <c r="C51" s="53">
        <v>-158224000</v>
      </c>
      <c r="D51" s="69"/>
      <c r="E51" s="69">
        <f t="shared" si="2"/>
        <v>-158224000</v>
      </c>
      <c r="F51" s="69"/>
      <c r="G51" s="69">
        <f>E51+F51</f>
        <v>-158224000</v>
      </c>
      <c r="H51" s="69"/>
      <c r="I51" s="53">
        <f>G51+H51</f>
        <v>-158224000</v>
      </c>
      <c r="J51" s="69">
        <v>-165366000</v>
      </c>
      <c r="K51" s="69">
        <v>-174125000</v>
      </c>
      <c r="L51" s="179">
        <v>-170623000</v>
      </c>
    </row>
    <row r="52" spans="1:16" s="77" customFormat="1" ht="13.5" thickBot="1" x14ac:dyDescent="0.35">
      <c r="A52" s="57" t="s">
        <v>66</v>
      </c>
      <c r="B52" s="57"/>
      <c r="C52" s="59">
        <f t="shared" ref="C52" si="21">SUM(C50:C51)</f>
        <v>-161024000</v>
      </c>
      <c r="D52" s="59"/>
      <c r="E52" s="59">
        <f>SUM(E50:E51)</f>
        <v>-161024000</v>
      </c>
      <c r="F52" s="59">
        <f t="shared" ref="F52:L52" si="22">SUM(F50:F51)</f>
        <v>0</v>
      </c>
      <c r="G52" s="59">
        <f t="shared" si="22"/>
        <v>-161024000</v>
      </c>
      <c r="H52" s="59">
        <f t="shared" si="22"/>
        <v>0</v>
      </c>
      <c r="I52" s="59">
        <f t="shared" si="22"/>
        <v>-161024000</v>
      </c>
      <c r="J52" s="59">
        <f t="shared" si="22"/>
        <v>-168366000</v>
      </c>
      <c r="K52" s="59">
        <f t="shared" si="22"/>
        <v>-177225000</v>
      </c>
      <c r="L52" s="177">
        <f t="shared" si="22"/>
        <v>-173723000</v>
      </c>
      <c r="M52" s="180"/>
      <c r="N52" s="193"/>
      <c r="O52" s="193"/>
      <c r="P52" s="193"/>
    </row>
    <row r="53" spans="1:16" s="77" customFormat="1" ht="14" thickTop="1" thickBot="1" x14ac:dyDescent="0.35">
      <c r="A53" s="74"/>
      <c r="B53" s="74"/>
      <c r="C53" s="80"/>
      <c r="D53" s="80"/>
      <c r="E53" s="62">
        <f t="shared" si="2"/>
        <v>0</v>
      </c>
      <c r="F53" s="79"/>
      <c r="G53" s="79"/>
      <c r="H53" s="79"/>
      <c r="I53" s="79"/>
      <c r="J53" s="79"/>
      <c r="K53" s="80"/>
      <c r="L53" s="180"/>
      <c r="M53" s="180"/>
      <c r="N53" s="193"/>
      <c r="O53" s="193"/>
      <c r="P53" s="193"/>
    </row>
    <row r="54" spans="1:16" s="77" customFormat="1" ht="14" thickTop="1" thickBot="1" x14ac:dyDescent="0.35">
      <c r="A54" s="81" t="s">
        <v>79</v>
      </c>
      <c r="B54" s="81"/>
      <c r="C54" s="82">
        <f>C52+C47+C33+C25+C20+C14+C10</f>
        <v>-192976935.16</v>
      </c>
      <c r="D54" s="82">
        <f t="shared" ref="D54:L54" si="23">D52+D47+D33+D25+D20+D14+D10</f>
        <v>0</v>
      </c>
      <c r="E54" s="82">
        <f t="shared" si="23"/>
        <v>-192976935.16</v>
      </c>
      <c r="F54" s="82">
        <f t="shared" si="23"/>
        <v>0</v>
      </c>
      <c r="G54" s="82">
        <f t="shared" si="23"/>
        <v>-192976935.16</v>
      </c>
      <c r="H54" s="82">
        <f t="shared" si="23"/>
        <v>4420619.24</v>
      </c>
      <c r="I54" s="82">
        <f t="shared" si="23"/>
        <v>-188556315.92000002</v>
      </c>
      <c r="J54" s="82">
        <f t="shared" si="23"/>
        <v>-196646817.74719998</v>
      </c>
      <c r="K54" s="82">
        <f t="shared" si="23"/>
        <v>-209920612.0925824</v>
      </c>
      <c r="L54" s="181">
        <f t="shared" si="23"/>
        <v>-207857219.02465603</v>
      </c>
      <c r="M54" s="180"/>
      <c r="N54" s="193"/>
      <c r="O54" s="193"/>
      <c r="P54" s="193"/>
    </row>
    <row r="55" spans="1:16" s="77" customFormat="1" ht="13.5" thickTop="1" x14ac:dyDescent="0.3">
      <c r="A55" s="60"/>
      <c r="B55" s="60"/>
      <c r="C55" s="78"/>
      <c r="D55" s="78"/>
      <c r="E55" s="53">
        <f t="shared" si="2"/>
        <v>0</v>
      </c>
      <c r="F55" s="62"/>
      <c r="G55" s="62"/>
      <c r="H55" s="62"/>
      <c r="I55" s="62"/>
      <c r="J55" s="62"/>
      <c r="K55" s="62"/>
      <c r="L55" s="62"/>
      <c r="M55" s="180"/>
      <c r="N55" s="193"/>
      <c r="O55" s="193"/>
      <c r="P55" s="193"/>
    </row>
    <row r="56" spans="1:16" s="77" customFormat="1" ht="13.5" thickBot="1" x14ac:dyDescent="0.35">
      <c r="A56" s="55"/>
      <c r="B56" s="55"/>
      <c r="C56" s="83"/>
      <c r="D56" s="83"/>
      <c r="E56" s="69">
        <f t="shared" si="2"/>
        <v>0</v>
      </c>
      <c r="F56" s="69"/>
      <c r="G56" s="69"/>
      <c r="H56" s="69"/>
      <c r="I56" s="69"/>
      <c r="J56" s="69"/>
      <c r="K56" s="83"/>
      <c r="L56" s="182"/>
      <c r="M56" s="180"/>
      <c r="N56" s="193"/>
      <c r="O56" s="193"/>
      <c r="P56" s="193"/>
    </row>
    <row r="57" spans="1:16" s="77" customFormat="1" x14ac:dyDescent="0.3">
      <c r="A57" s="125" t="s">
        <v>74</v>
      </c>
      <c r="B57" s="125"/>
      <c r="C57" s="125"/>
      <c r="D57" s="125"/>
      <c r="E57" s="154">
        <f t="shared" si="2"/>
        <v>0</v>
      </c>
      <c r="F57" s="154"/>
      <c r="G57" s="154"/>
      <c r="H57" s="154"/>
      <c r="I57" s="154"/>
      <c r="J57" s="154"/>
      <c r="K57" s="125"/>
      <c r="L57" s="183"/>
      <c r="M57" s="180"/>
      <c r="N57" s="193"/>
      <c r="O57" s="193"/>
      <c r="P57" s="193"/>
    </row>
    <row r="58" spans="1:16" x14ac:dyDescent="0.3">
      <c r="A58" s="60" t="s">
        <v>75</v>
      </c>
      <c r="B58" s="61"/>
      <c r="C58" s="62"/>
      <c r="D58" s="62"/>
      <c r="E58" s="53">
        <f t="shared" si="2"/>
        <v>0</v>
      </c>
      <c r="F58" s="62"/>
      <c r="G58" s="53">
        <f t="shared" ref="G58:G65" si="24">E58+F58</f>
        <v>0</v>
      </c>
      <c r="H58" s="62"/>
      <c r="I58" s="62"/>
      <c r="J58" s="62"/>
      <c r="K58" s="62"/>
      <c r="L58" s="184"/>
    </row>
    <row r="59" spans="1:16" x14ac:dyDescent="0.3">
      <c r="A59" s="52" t="s">
        <v>582</v>
      </c>
      <c r="B59" s="52" t="s">
        <v>597</v>
      </c>
      <c r="C59" s="53">
        <v>183153.17947999999</v>
      </c>
      <c r="D59" s="53"/>
      <c r="E59" s="53">
        <f t="shared" si="2"/>
        <v>183153.17947999999</v>
      </c>
      <c r="F59" s="53"/>
      <c r="G59" s="53">
        <f t="shared" si="24"/>
        <v>183153.17947999999</v>
      </c>
      <c r="H59" s="53">
        <v>-12750.86689865022</v>
      </c>
      <c r="I59" s="53">
        <f t="shared" ref="I59:I67" si="25">G59+H59</f>
        <v>170402.31258134978</v>
      </c>
      <c r="J59" s="53">
        <v>55828.69</v>
      </c>
      <c r="K59" s="53"/>
      <c r="L59" s="176"/>
    </row>
    <row r="60" spans="1:16" x14ac:dyDescent="0.3">
      <c r="A60" s="52" t="s">
        <v>584</v>
      </c>
      <c r="B60" s="52" t="s">
        <v>32</v>
      </c>
      <c r="C60" s="53">
        <v>1197648.2207722508</v>
      </c>
      <c r="D60" s="53"/>
      <c r="E60" s="53">
        <f t="shared" si="2"/>
        <v>1197648.2207722508</v>
      </c>
      <c r="F60" s="53"/>
      <c r="G60" s="53">
        <f t="shared" si="24"/>
        <v>1197648.2207722508</v>
      </c>
      <c r="H60" s="53">
        <v>-31996.112989412428</v>
      </c>
      <c r="I60" s="53">
        <f t="shared" si="25"/>
        <v>1165652.1077828384</v>
      </c>
      <c r="J60" s="53">
        <f t="shared" ref="J60:J66" si="26">I60*104%</f>
        <v>1212278.1920941519</v>
      </c>
      <c r="K60" s="53">
        <f t="shared" ref="K60:K67" si="27">J60*104.2%</f>
        <v>1263193.8761621062</v>
      </c>
      <c r="L60" s="176">
        <f t="shared" ref="L60:L67" si="28">K60*104.4%</f>
        <v>1318774.4067132389</v>
      </c>
    </row>
    <row r="61" spans="1:16" x14ac:dyDescent="0.3">
      <c r="A61" s="52" t="s">
        <v>585</v>
      </c>
      <c r="B61" s="52" t="s">
        <v>33</v>
      </c>
      <c r="C61" s="53">
        <v>403628.19418691163</v>
      </c>
      <c r="D61" s="53"/>
      <c r="E61" s="53">
        <f t="shared" si="2"/>
        <v>403628.19418691163</v>
      </c>
      <c r="F61" s="53"/>
      <c r="G61" s="53">
        <f t="shared" si="24"/>
        <v>403628.19418691163</v>
      </c>
      <c r="H61" s="53">
        <v>328455.66654916329</v>
      </c>
      <c r="I61" s="53">
        <f t="shared" si="25"/>
        <v>732083.86073607486</v>
      </c>
      <c r="J61" s="53">
        <f t="shared" si="26"/>
        <v>761367.21516551787</v>
      </c>
      <c r="K61" s="53">
        <f t="shared" si="27"/>
        <v>793344.63820246968</v>
      </c>
      <c r="L61" s="176">
        <f t="shared" si="28"/>
        <v>828251.80228337843</v>
      </c>
    </row>
    <row r="62" spans="1:16" x14ac:dyDescent="0.3">
      <c r="A62" s="52" t="s">
        <v>586</v>
      </c>
      <c r="B62" s="52" t="s">
        <v>34</v>
      </c>
      <c r="C62" s="53">
        <v>1095118.5799760658</v>
      </c>
      <c r="D62" s="53"/>
      <c r="E62" s="53">
        <f t="shared" si="2"/>
        <v>1095118.5799760658</v>
      </c>
      <c r="F62" s="53"/>
      <c r="G62" s="53">
        <f t="shared" si="24"/>
        <v>1095118.5799760658</v>
      </c>
      <c r="H62" s="53">
        <v>-91180.28000646313</v>
      </c>
      <c r="I62" s="53">
        <f t="shared" si="25"/>
        <v>1003938.2999696026</v>
      </c>
      <c r="J62" s="53">
        <f t="shared" si="26"/>
        <v>1044095.8319683868</v>
      </c>
      <c r="K62" s="53">
        <f t="shared" si="27"/>
        <v>1087947.856911059</v>
      </c>
      <c r="L62" s="176">
        <f t="shared" si="28"/>
        <v>1135817.5626151457</v>
      </c>
    </row>
    <row r="63" spans="1:16" x14ac:dyDescent="0.3">
      <c r="A63" s="52" t="s">
        <v>588</v>
      </c>
      <c r="B63" s="52" t="s">
        <v>35</v>
      </c>
      <c r="C63" s="53">
        <v>1931091.9540495356</v>
      </c>
      <c r="D63" s="53"/>
      <c r="E63" s="53">
        <f t="shared" si="2"/>
        <v>1931091.9540495356</v>
      </c>
      <c r="F63" s="53"/>
      <c r="G63" s="53">
        <f t="shared" si="24"/>
        <v>1931091.9540495356</v>
      </c>
      <c r="H63" s="53">
        <v>76072.823224165186</v>
      </c>
      <c r="I63" s="53">
        <f t="shared" si="25"/>
        <v>2007164.7772737008</v>
      </c>
      <c r="J63" s="53">
        <f t="shared" si="26"/>
        <v>2087451.3683646489</v>
      </c>
      <c r="K63" s="53">
        <f t="shared" si="27"/>
        <v>2175124.3258359642</v>
      </c>
      <c r="L63" s="176">
        <f t="shared" si="28"/>
        <v>2270829.7961727465</v>
      </c>
    </row>
    <row r="64" spans="1:16" x14ac:dyDescent="0.3">
      <c r="A64" s="52" t="s">
        <v>587</v>
      </c>
      <c r="B64" s="52" t="s">
        <v>36</v>
      </c>
      <c r="C64" s="53">
        <v>11518717.3747821</v>
      </c>
      <c r="D64" s="53"/>
      <c r="E64" s="53">
        <f t="shared" si="2"/>
        <v>11518717.3747821</v>
      </c>
      <c r="F64" s="53"/>
      <c r="G64" s="53">
        <f t="shared" si="24"/>
        <v>11518717.3747821</v>
      </c>
      <c r="H64" s="53">
        <v>565781.33628604503</v>
      </c>
      <c r="I64" s="53">
        <f t="shared" si="25"/>
        <v>12084498.711068146</v>
      </c>
      <c r="J64" s="53">
        <f t="shared" si="26"/>
        <v>12567878.659510871</v>
      </c>
      <c r="K64" s="53">
        <f t="shared" si="27"/>
        <v>13095729.563210329</v>
      </c>
      <c r="L64" s="176">
        <f t="shared" si="28"/>
        <v>13671941.663991584</v>
      </c>
    </row>
    <row r="65" spans="1:16" x14ac:dyDescent="0.3">
      <c r="A65" s="52" t="s">
        <v>583</v>
      </c>
      <c r="B65" s="52" t="s">
        <v>37</v>
      </c>
      <c r="C65" s="53">
        <v>5663533.3158165142</v>
      </c>
      <c r="D65" s="53"/>
      <c r="E65" s="53">
        <f t="shared" si="2"/>
        <v>5663533.3158165142</v>
      </c>
      <c r="F65" s="53"/>
      <c r="G65" s="53">
        <f t="shared" si="24"/>
        <v>5663533.3158165142</v>
      </c>
      <c r="H65" s="53">
        <v>-1191769.8189157872</v>
      </c>
      <c r="I65" s="53">
        <f t="shared" si="25"/>
        <v>4471763.496900727</v>
      </c>
      <c r="J65" s="53">
        <f t="shared" si="26"/>
        <v>4650634.0367767559</v>
      </c>
      <c r="K65" s="53">
        <f t="shared" si="27"/>
        <v>4845960.6663213801</v>
      </c>
      <c r="L65" s="176">
        <f t="shared" si="28"/>
        <v>5059182.9356395211</v>
      </c>
    </row>
    <row r="66" spans="1:16" x14ac:dyDescent="0.3">
      <c r="A66" s="56" t="s">
        <v>1347</v>
      </c>
      <c r="B66" s="56" t="s">
        <v>1326</v>
      </c>
      <c r="C66" s="53"/>
      <c r="D66" s="53"/>
      <c r="E66" s="53"/>
      <c r="F66" s="53"/>
      <c r="G66" s="53">
        <v>0</v>
      </c>
      <c r="H66" s="53">
        <v>1073168.9708304172</v>
      </c>
      <c r="I66" s="53">
        <f t="shared" si="25"/>
        <v>1073168.9708304172</v>
      </c>
      <c r="J66" s="53">
        <f t="shared" si="26"/>
        <v>1116095.729663634</v>
      </c>
      <c r="K66" s="53">
        <f t="shared" si="27"/>
        <v>1162971.7503095067</v>
      </c>
      <c r="L66" s="176">
        <f t="shared" si="28"/>
        <v>1214142.5073231249</v>
      </c>
    </row>
    <row r="67" spans="1:16" ht="13.5" thickBot="1" x14ac:dyDescent="0.35">
      <c r="A67" s="56" t="s">
        <v>667</v>
      </c>
      <c r="B67" s="56" t="s">
        <v>38</v>
      </c>
      <c r="C67" s="53">
        <v>7109.1809366607677</v>
      </c>
      <c r="D67" s="53"/>
      <c r="E67" s="53">
        <f t="shared" si="2"/>
        <v>7109.1809366607677</v>
      </c>
      <c r="F67" s="53"/>
      <c r="G67" s="53">
        <f>E67+F67</f>
        <v>7109.1809366607677</v>
      </c>
      <c r="H67" s="53">
        <v>-7109.1809366607677</v>
      </c>
      <c r="I67" s="53">
        <f t="shared" si="25"/>
        <v>0</v>
      </c>
      <c r="J67" s="53">
        <v>0</v>
      </c>
      <c r="K67" s="53">
        <f t="shared" si="27"/>
        <v>0</v>
      </c>
      <c r="L67" s="176">
        <f t="shared" si="28"/>
        <v>0</v>
      </c>
    </row>
    <row r="68" spans="1:16" s="77" customFormat="1" ht="13.5" thickBot="1" x14ac:dyDescent="0.35">
      <c r="A68" s="57" t="s">
        <v>66</v>
      </c>
      <c r="B68" s="57"/>
      <c r="C68" s="59">
        <f t="shared" ref="C68:L68" si="29">SUM(C59:C67)</f>
        <v>22000000.000000041</v>
      </c>
      <c r="D68" s="59">
        <f t="shared" si="29"/>
        <v>0</v>
      </c>
      <c r="E68" s="59">
        <f t="shared" si="29"/>
        <v>22000000.000000041</v>
      </c>
      <c r="F68" s="59">
        <f t="shared" si="29"/>
        <v>0</v>
      </c>
      <c r="G68" s="59">
        <f t="shared" si="29"/>
        <v>22000000.000000041</v>
      </c>
      <c r="H68" s="59">
        <f t="shared" si="29"/>
        <v>708672.53714281705</v>
      </c>
      <c r="I68" s="59">
        <f t="shared" si="29"/>
        <v>22708672.537142858</v>
      </c>
      <c r="J68" s="59">
        <f t="shared" si="29"/>
        <v>23495629.723543964</v>
      </c>
      <c r="K68" s="59">
        <f t="shared" si="29"/>
        <v>24424272.67695282</v>
      </c>
      <c r="L68" s="177">
        <f t="shared" si="29"/>
        <v>25498940.674738735</v>
      </c>
      <c r="M68" s="180"/>
      <c r="N68" s="193"/>
      <c r="O68" s="193"/>
      <c r="P68" s="193"/>
    </row>
    <row r="69" spans="1:16" s="77" customFormat="1" ht="13.5" thickTop="1" x14ac:dyDescent="0.3">
      <c r="A69" s="74"/>
      <c r="B69" s="74"/>
      <c r="C69" s="80"/>
      <c r="D69" s="80"/>
      <c r="E69" s="53">
        <f t="shared" si="2"/>
        <v>0</v>
      </c>
      <c r="F69" s="79"/>
      <c r="G69" s="79"/>
      <c r="H69" s="79"/>
      <c r="I69" s="79"/>
      <c r="J69" s="79"/>
      <c r="K69" s="80"/>
      <c r="L69" s="180"/>
      <c r="M69" s="180"/>
      <c r="N69" s="193"/>
      <c r="O69" s="193"/>
      <c r="P69" s="193"/>
    </row>
    <row r="70" spans="1:16" x14ac:dyDescent="0.3">
      <c r="A70" s="55" t="s">
        <v>458</v>
      </c>
      <c r="B70" s="56"/>
      <c r="C70" s="53"/>
      <c r="D70" s="53"/>
      <c r="E70" s="53">
        <f t="shared" si="2"/>
        <v>0</v>
      </c>
      <c r="F70" s="53"/>
      <c r="G70" s="53"/>
      <c r="H70" s="53"/>
      <c r="I70" s="53"/>
      <c r="J70" s="53"/>
      <c r="K70" s="53"/>
      <c r="L70" s="176"/>
    </row>
    <row r="71" spans="1:16" x14ac:dyDescent="0.3">
      <c r="A71" s="55"/>
      <c r="B71" s="55" t="s">
        <v>459</v>
      </c>
      <c r="C71" s="53"/>
      <c r="D71" s="53"/>
      <c r="E71" s="53">
        <f t="shared" si="2"/>
        <v>0</v>
      </c>
      <c r="F71" s="53"/>
      <c r="G71" s="53"/>
      <c r="H71" s="53"/>
      <c r="I71" s="53"/>
      <c r="J71" s="53"/>
      <c r="K71" s="53"/>
      <c r="L71" s="176"/>
    </row>
    <row r="72" spans="1:16" x14ac:dyDescent="0.3">
      <c r="A72" s="52" t="s">
        <v>445</v>
      </c>
      <c r="B72" s="52" t="s">
        <v>1275</v>
      </c>
      <c r="C72" s="53">
        <v>35000</v>
      </c>
      <c r="D72" s="53"/>
      <c r="E72" s="53">
        <f t="shared" si="2"/>
        <v>35000</v>
      </c>
      <c r="F72" s="53"/>
      <c r="G72" s="53">
        <f t="shared" ref="G72:G100" si="30">E72+F72</f>
        <v>35000</v>
      </c>
      <c r="H72" s="53">
        <v>-20000</v>
      </c>
      <c r="I72" s="53">
        <f t="shared" ref="I72:I100" si="31">G72+H72</f>
        <v>15000</v>
      </c>
      <c r="J72" s="53">
        <v>35000</v>
      </c>
      <c r="K72" s="53">
        <f t="shared" ref="K72:K100" si="32">J72*104.2%</f>
        <v>36470</v>
      </c>
      <c r="L72" s="176">
        <f t="shared" ref="L72:L100" si="33">K72*104.4%</f>
        <v>38074.68</v>
      </c>
    </row>
    <row r="73" spans="1:16" x14ac:dyDescent="0.3">
      <c r="A73" s="52" t="s">
        <v>1210</v>
      </c>
      <c r="B73" s="52" t="s">
        <v>234</v>
      </c>
      <c r="C73" s="53">
        <v>85000</v>
      </c>
      <c r="D73" s="53"/>
      <c r="E73" s="53">
        <f t="shared" si="2"/>
        <v>85000</v>
      </c>
      <c r="F73" s="53"/>
      <c r="G73" s="53">
        <f t="shared" si="30"/>
        <v>85000</v>
      </c>
      <c r="H73" s="53">
        <f>-50000-10000</f>
        <v>-60000</v>
      </c>
      <c r="I73" s="53">
        <f t="shared" si="31"/>
        <v>25000</v>
      </c>
      <c r="J73" s="53">
        <v>85000</v>
      </c>
      <c r="K73" s="53">
        <f t="shared" si="32"/>
        <v>88570</v>
      </c>
      <c r="L73" s="176">
        <f t="shared" si="33"/>
        <v>92467.08</v>
      </c>
    </row>
    <row r="74" spans="1:16" x14ac:dyDescent="0.3">
      <c r="A74" s="52" t="s">
        <v>447</v>
      </c>
      <c r="B74" s="52" t="s">
        <v>44</v>
      </c>
      <c r="C74" s="53">
        <v>70000</v>
      </c>
      <c r="D74" s="53"/>
      <c r="E74" s="53">
        <f t="shared" si="2"/>
        <v>70000</v>
      </c>
      <c r="F74" s="53"/>
      <c r="G74" s="53">
        <f t="shared" si="30"/>
        <v>70000</v>
      </c>
      <c r="H74" s="53"/>
      <c r="I74" s="53">
        <f t="shared" si="31"/>
        <v>70000</v>
      </c>
      <c r="J74" s="53">
        <v>70000</v>
      </c>
      <c r="K74" s="53">
        <f t="shared" si="32"/>
        <v>72940</v>
      </c>
      <c r="L74" s="176">
        <f t="shared" si="33"/>
        <v>76149.36</v>
      </c>
    </row>
    <row r="75" spans="1:16" x14ac:dyDescent="0.3">
      <c r="A75" s="52" t="s">
        <v>41</v>
      </c>
      <c r="B75" s="52" t="s">
        <v>42</v>
      </c>
      <c r="C75" s="53">
        <v>95000</v>
      </c>
      <c r="D75" s="53"/>
      <c r="E75" s="53">
        <f t="shared" si="2"/>
        <v>95000</v>
      </c>
      <c r="F75" s="53"/>
      <c r="G75" s="53">
        <f t="shared" si="30"/>
        <v>95000</v>
      </c>
      <c r="H75" s="53">
        <v>150000</v>
      </c>
      <c r="I75" s="53">
        <f t="shared" si="31"/>
        <v>245000</v>
      </c>
      <c r="J75" s="53">
        <v>95000</v>
      </c>
      <c r="K75" s="53">
        <f t="shared" si="32"/>
        <v>98990</v>
      </c>
      <c r="L75" s="176">
        <f t="shared" si="33"/>
        <v>103345.56</v>
      </c>
    </row>
    <row r="76" spans="1:16" s="77" customFormat="1" x14ac:dyDescent="0.3">
      <c r="A76" s="52" t="s">
        <v>1211</v>
      </c>
      <c r="B76" s="52" t="s">
        <v>40</v>
      </c>
      <c r="C76" s="53">
        <v>100000</v>
      </c>
      <c r="D76" s="53"/>
      <c r="E76" s="53">
        <f t="shared" si="2"/>
        <v>100000</v>
      </c>
      <c r="F76" s="53"/>
      <c r="G76" s="53">
        <f t="shared" si="30"/>
        <v>100000</v>
      </c>
      <c r="H76" s="53">
        <f>-50000-10000-9991</f>
        <v>-69991</v>
      </c>
      <c r="I76" s="53">
        <f t="shared" si="31"/>
        <v>30009</v>
      </c>
      <c r="J76" s="53">
        <v>80000</v>
      </c>
      <c r="K76" s="53">
        <f t="shared" si="32"/>
        <v>83360</v>
      </c>
      <c r="L76" s="176">
        <f t="shared" si="33"/>
        <v>87027.839999999997</v>
      </c>
      <c r="M76" s="179"/>
      <c r="N76" s="190"/>
      <c r="O76" s="190"/>
      <c r="P76" s="190"/>
    </row>
    <row r="77" spans="1:16" x14ac:dyDescent="0.3">
      <c r="A77" s="52"/>
      <c r="B77" s="52"/>
      <c r="C77" s="53">
        <v>0</v>
      </c>
      <c r="D77" s="53"/>
      <c r="E77" s="53">
        <f t="shared" si="2"/>
        <v>0</v>
      </c>
      <c r="F77" s="53"/>
      <c r="G77" s="53">
        <f t="shared" si="30"/>
        <v>0</v>
      </c>
      <c r="H77" s="53"/>
      <c r="I77" s="53">
        <f t="shared" si="31"/>
        <v>0</v>
      </c>
      <c r="J77" s="53">
        <v>0</v>
      </c>
      <c r="K77" s="53">
        <f t="shared" si="32"/>
        <v>0</v>
      </c>
      <c r="L77" s="176">
        <f t="shared" si="33"/>
        <v>0</v>
      </c>
    </row>
    <row r="78" spans="1:16" x14ac:dyDescent="0.3">
      <c r="A78" s="52" t="s">
        <v>50</v>
      </c>
      <c r="B78" s="52" t="s">
        <v>51</v>
      </c>
      <c r="C78" s="53">
        <v>120000</v>
      </c>
      <c r="D78" s="53"/>
      <c r="E78" s="53">
        <f t="shared" si="2"/>
        <v>120000</v>
      </c>
      <c r="F78" s="53"/>
      <c r="G78" s="53">
        <f t="shared" si="30"/>
        <v>120000</v>
      </c>
      <c r="H78" s="53">
        <f>80000+10000+6120+10000+9991</f>
        <v>116111</v>
      </c>
      <c r="I78" s="53">
        <f t="shared" si="31"/>
        <v>236111</v>
      </c>
      <c r="J78" s="53">
        <v>250000</v>
      </c>
      <c r="K78" s="53">
        <f t="shared" si="32"/>
        <v>260500</v>
      </c>
      <c r="L78" s="176">
        <f t="shared" si="33"/>
        <v>271962</v>
      </c>
    </row>
    <row r="79" spans="1:16" x14ac:dyDescent="0.3">
      <c r="A79" s="52"/>
      <c r="B79" s="52"/>
      <c r="C79" s="53">
        <v>0</v>
      </c>
      <c r="D79" s="53"/>
      <c r="E79" s="53">
        <f t="shared" si="2"/>
        <v>0</v>
      </c>
      <c r="F79" s="53"/>
      <c r="G79" s="53">
        <f t="shared" si="30"/>
        <v>0</v>
      </c>
      <c r="H79" s="53"/>
      <c r="I79" s="53">
        <f t="shared" si="31"/>
        <v>0</v>
      </c>
      <c r="J79" s="53"/>
      <c r="K79" s="53">
        <f t="shared" si="32"/>
        <v>0</v>
      </c>
      <c r="L79" s="176">
        <f t="shared" si="33"/>
        <v>0</v>
      </c>
    </row>
    <row r="80" spans="1:16" x14ac:dyDescent="0.3">
      <c r="A80" s="52"/>
      <c r="B80" s="51" t="s">
        <v>460</v>
      </c>
      <c r="C80" s="53">
        <v>0</v>
      </c>
      <c r="D80" s="53"/>
      <c r="E80" s="53">
        <f t="shared" si="2"/>
        <v>0</v>
      </c>
      <c r="F80" s="53"/>
      <c r="G80" s="53">
        <f t="shared" si="30"/>
        <v>0</v>
      </c>
      <c r="H80" s="53"/>
      <c r="I80" s="53">
        <f t="shared" si="31"/>
        <v>0</v>
      </c>
      <c r="J80" s="53"/>
      <c r="K80" s="53">
        <f t="shared" si="32"/>
        <v>0</v>
      </c>
      <c r="L80" s="176">
        <f t="shared" si="33"/>
        <v>0</v>
      </c>
    </row>
    <row r="81" spans="1:16" x14ac:dyDescent="0.3">
      <c r="A81" s="52" t="s">
        <v>1212</v>
      </c>
      <c r="B81" s="52" t="s">
        <v>39</v>
      </c>
      <c r="C81" s="53">
        <v>90000</v>
      </c>
      <c r="D81" s="53"/>
      <c r="E81" s="53">
        <f t="shared" si="2"/>
        <v>90000</v>
      </c>
      <c r="F81" s="53"/>
      <c r="G81" s="53">
        <f t="shared" si="30"/>
        <v>90000</v>
      </c>
      <c r="H81" s="53">
        <v>-90000</v>
      </c>
      <c r="I81" s="53">
        <f t="shared" si="31"/>
        <v>0</v>
      </c>
      <c r="J81" s="53"/>
      <c r="K81" s="53">
        <f t="shared" si="32"/>
        <v>0</v>
      </c>
      <c r="L81" s="176">
        <f t="shared" si="33"/>
        <v>0</v>
      </c>
    </row>
    <row r="82" spans="1:16" x14ac:dyDescent="0.3">
      <c r="A82" s="52" t="s">
        <v>1204</v>
      </c>
      <c r="B82" s="52" t="s">
        <v>52</v>
      </c>
      <c r="C82" s="53">
        <v>850000</v>
      </c>
      <c r="D82" s="53"/>
      <c r="E82" s="53">
        <f t="shared" ref="E82:E146" si="34">C82+D82</f>
        <v>850000</v>
      </c>
      <c r="F82" s="53"/>
      <c r="G82" s="53">
        <f t="shared" si="30"/>
        <v>850000</v>
      </c>
      <c r="H82" s="53">
        <v>50000</v>
      </c>
      <c r="I82" s="53">
        <f t="shared" si="31"/>
        <v>900000</v>
      </c>
      <c r="J82" s="53">
        <v>950000</v>
      </c>
      <c r="K82" s="53">
        <f t="shared" si="32"/>
        <v>989900</v>
      </c>
      <c r="L82" s="176"/>
    </row>
    <row r="83" spans="1:16" x14ac:dyDescent="0.3">
      <c r="A83" s="52" t="s">
        <v>26</v>
      </c>
      <c r="B83" s="52" t="s">
        <v>27</v>
      </c>
      <c r="C83" s="53">
        <v>3200000</v>
      </c>
      <c r="D83" s="53"/>
      <c r="E83" s="53">
        <f t="shared" si="34"/>
        <v>3200000</v>
      </c>
      <c r="F83" s="53"/>
      <c r="G83" s="53">
        <f t="shared" si="30"/>
        <v>3200000</v>
      </c>
      <c r="H83" s="53">
        <v>120000</v>
      </c>
      <c r="I83" s="53">
        <f t="shared" si="31"/>
        <v>3320000</v>
      </c>
      <c r="J83" s="53">
        <f>3500000+250000</f>
        <v>3750000</v>
      </c>
      <c r="K83" s="53">
        <f t="shared" si="32"/>
        <v>3907500</v>
      </c>
      <c r="L83" s="176"/>
    </row>
    <row r="84" spans="1:16" x14ac:dyDescent="0.3">
      <c r="A84" s="52"/>
      <c r="B84" s="52"/>
      <c r="C84" s="53">
        <v>0</v>
      </c>
      <c r="D84" s="53"/>
      <c r="E84" s="53">
        <f t="shared" si="34"/>
        <v>0</v>
      </c>
      <c r="F84" s="53"/>
      <c r="G84" s="53">
        <f t="shared" si="30"/>
        <v>0</v>
      </c>
      <c r="H84" s="53"/>
      <c r="I84" s="53">
        <f t="shared" si="31"/>
        <v>0</v>
      </c>
      <c r="J84" s="53"/>
      <c r="K84" s="53">
        <f t="shared" si="32"/>
        <v>0</v>
      </c>
      <c r="L84" s="176">
        <f t="shared" si="33"/>
        <v>0</v>
      </c>
    </row>
    <row r="85" spans="1:16" s="77" customFormat="1" x14ac:dyDescent="0.3">
      <c r="A85" s="52" t="s">
        <v>1196</v>
      </c>
      <c r="B85" s="52" t="s">
        <v>1197</v>
      </c>
      <c r="C85" s="53">
        <v>2500000</v>
      </c>
      <c r="D85" s="53"/>
      <c r="E85" s="53">
        <f t="shared" si="34"/>
        <v>2500000</v>
      </c>
      <c r="F85" s="53"/>
      <c r="G85" s="53">
        <f t="shared" si="30"/>
        <v>2500000</v>
      </c>
      <c r="H85" s="53"/>
      <c r="I85" s="53">
        <f t="shared" si="31"/>
        <v>2500000</v>
      </c>
      <c r="J85" s="53">
        <v>3000000</v>
      </c>
      <c r="K85" s="53">
        <f t="shared" si="32"/>
        <v>3126000</v>
      </c>
      <c r="L85" s="176">
        <f t="shared" si="33"/>
        <v>3263544</v>
      </c>
      <c r="M85" s="179"/>
      <c r="N85" s="190"/>
      <c r="O85" s="190"/>
      <c r="P85" s="190"/>
    </row>
    <row r="86" spans="1:16" x14ac:dyDescent="0.3">
      <c r="A86" s="52" t="s">
        <v>45</v>
      </c>
      <c r="B86" s="52" t="s">
        <v>46</v>
      </c>
      <c r="C86" s="53">
        <v>1500000</v>
      </c>
      <c r="D86" s="53"/>
      <c r="E86" s="53">
        <f t="shared" si="34"/>
        <v>1500000</v>
      </c>
      <c r="F86" s="53"/>
      <c r="G86" s="53">
        <f t="shared" si="30"/>
        <v>1500000</v>
      </c>
      <c r="H86" s="53"/>
      <c r="I86" s="53">
        <f t="shared" si="31"/>
        <v>1500000</v>
      </c>
      <c r="J86" s="53"/>
      <c r="K86" s="53">
        <f t="shared" si="32"/>
        <v>0</v>
      </c>
      <c r="L86" s="176">
        <f t="shared" si="33"/>
        <v>0</v>
      </c>
    </row>
    <row r="87" spans="1:16" x14ac:dyDescent="0.3">
      <c r="A87" s="52" t="s">
        <v>53</v>
      </c>
      <c r="B87" s="52" t="s">
        <v>54</v>
      </c>
      <c r="C87" s="53">
        <v>1300000</v>
      </c>
      <c r="D87" s="53"/>
      <c r="E87" s="53">
        <f t="shared" si="34"/>
        <v>1300000</v>
      </c>
      <c r="F87" s="53"/>
      <c r="G87" s="53">
        <f t="shared" si="30"/>
        <v>1300000</v>
      </c>
      <c r="H87" s="53">
        <v>100000</v>
      </c>
      <c r="I87" s="53">
        <f t="shared" si="31"/>
        <v>1400000</v>
      </c>
      <c r="J87" s="53">
        <v>1500000</v>
      </c>
      <c r="K87" s="53">
        <f t="shared" si="32"/>
        <v>1563000</v>
      </c>
      <c r="L87" s="176"/>
    </row>
    <row r="88" spans="1:16" s="77" customFormat="1" x14ac:dyDescent="0.3">
      <c r="A88" s="52" t="s">
        <v>1208</v>
      </c>
      <c r="B88" s="52" t="s">
        <v>1209</v>
      </c>
      <c r="C88" s="53">
        <v>500000</v>
      </c>
      <c r="D88" s="53"/>
      <c r="E88" s="53">
        <f t="shared" si="34"/>
        <v>500000</v>
      </c>
      <c r="F88" s="53"/>
      <c r="G88" s="53">
        <f t="shared" si="30"/>
        <v>500000</v>
      </c>
      <c r="H88" s="53">
        <f>-50000+190000</f>
        <v>140000</v>
      </c>
      <c r="I88" s="53">
        <f t="shared" si="31"/>
        <v>640000</v>
      </c>
      <c r="J88" s="53"/>
      <c r="K88" s="53">
        <f t="shared" si="32"/>
        <v>0</v>
      </c>
      <c r="L88" s="176">
        <f t="shared" si="33"/>
        <v>0</v>
      </c>
      <c r="M88" s="179"/>
      <c r="N88" s="190"/>
      <c r="O88" s="190"/>
      <c r="P88" s="190"/>
    </row>
    <row r="89" spans="1:16" s="77" customFormat="1" x14ac:dyDescent="0.3">
      <c r="A89" s="52" t="s">
        <v>1213</v>
      </c>
      <c r="B89" s="52" t="s">
        <v>47</v>
      </c>
      <c r="C89" s="53">
        <v>70000</v>
      </c>
      <c r="D89" s="53"/>
      <c r="E89" s="53">
        <f t="shared" si="34"/>
        <v>70000</v>
      </c>
      <c r="F89" s="53"/>
      <c r="G89" s="53">
        <f t="shared" si="30"/>
        <v>70000</v>
      </c>
      <c r="H89" s="53">
        <v>-40000</v>
      </c>
      <c r="I89" s="53">
        <f t="shared" si="31"/>
        <v>30000</v>
      </c>
      <c r="J89" s="53">
        <v>70000</v>
      </c>
      <c r="K89" s="53">
        <f t="shared" si="32"/>
        <v>72940</v>
      </c>
      <c r="L89" s="176">
        <f t="shared" si="33"/>
        <v>76149.36</v>
      </c>
      <c r="M89" s="179"/>
      <c r="N89" s="190"/>
      <c r="O89" s="190"/>
      <c r="P89" s="190"/>
    </row>
    <row r="90" spans="1:16" s="77" customFormat="1" x14ac:dyDescent="0.3">
      <c r="A90" s="52"/>
      <c r="B90" s="52"/>
      <c r="C90" s="53">
        <v>0</v>
      </c>
      <c r="D90" s="53"/>
      <c r="E90" s="53">
        <f t="shared" si="34"/>
        <v>0</v>
      </c>
      <c r="F90" s="53"/>
      <c r="G90" s="53">
        <f t="shared" si="30"/>
        <v>0</v>
      </c>
      <c r="H90" s="53"/>
      <c r="I90" s="53">
        <f t="shared" si="31"/>
        <v>0</v>
      </c>
      <c r="J90" s="53">
        <v>0</v>
      </c>
      <c r="K90" s="53">
        <f t="shared" si="32"/>
        <v>0</v>
      </c>
      <c r="L90" s="176">
        <f t="shared" si="33"/>
        <v>0</v>
      </c>
      <c r="M90" s="179"/>
      <c r="N90" s="190"/>
      <c r="O90" s="190"/>
      <c r="P90" s="190"/>
    </row>
    <row r="91" spans="1:16" s="77" customFormat="1" x14ac:dyDescent="0.3">
      <c r="A91" s="52"/>
      <c r="B91" s="51" t="s">
        <v>461</v>
      </c>
      <c r="C91" s="53">
        <v>0</v>
      </c>
      <c r="D91" s="53"/>
      <c r="E91" s="53">
        <f t="shared" si="34"/>
        <v>0</v>
      </c>
      <c r="F91" s="53"/>
      <c r="G91" s="53">
        <f t="shared" si="30"/>
        <v>0</v>
      </c>
      <c r="H91" s="53"/>
      <c r="I91" s="53">
        <f t="shared" si="31"/>
        <v>0</v>
      </c>
      <c r="J91" s="53">
        <v>0</v>
      </c>
      <c r="K91" s="53">
        <f t="shared" si="32"/>
        <v>0</v>
      </c>
      <c r="L91" s="176">
        <f t="shared" si="33"/>
        <v>0</v>
      </c>
      <c r="M91" s="179"/>
      <c r="N91" s="190"/>
      <c r="O91" s="190"/>
      <c r="P91" s="190"/>
    </row>
    <row r="92" spans="1:16" x14ac:dyDescent="0.3">
      <c r="A92" s="52" t="s">
        <v>1207</v>
      </c>
      <c r="B92" s="52" t="s">
        <v>1206</v>
      </c>
      <c r="C92" s="53">
        <v>300000</v>
      </c>
      <c r="D92" s="53"/>
      <c r="E92" s="53">
        <f t="shared" si="34"/>
        <v>300000</v>
      </c>
      <c r="F92" s="53"/>
      <c r="G92" s="53">
        <f t="shared" si="30"/>
        <v>300000</v>
      </c>
      <c r="H92" s="53">
        <f>400000-200000</f>
        <v>200000</v>
      </c>
      <c r="I92" s="53">
        <f t="shared" si="31"/>
        <v>500000</v>
      </c>
      <c r="J92" s="53">
        <v>400000</v>
      </c>
      <c r="K92" s="53">
        <f t="shared" si="32"/>
        <v>416800</v>
      </c>
      <c r="L92" s="176">
        <f t="shared" si="33"/>
        <v>435139.2</v>
      </c>
    </row>
    <row r="93" spans="1:16" x14ac:dyDescent="0.3">
      <c r="A93" s="52" t="s">
        <v>24</v>
      </c>
      <c r="B93" s="52" t="s">
        <v>25</v>
      </c>
      <c r="C93" s="53">
        <v>100000</v>
      </c>
      <c r="D93" s="53"/>
      <c r="E93" s="53">
        <f t="shared" si="34"/>
        <v>100000</v>
      </c>
      <c r="F93" s="53"/>
      <c r="G93" s="53">
        <f t="shared" si="30"/>
        <v>100000</v>
      </c>
      <c r="H93" s="53">
        <f>700000-100000+100000</f>
        <v>700000</v>
      </c>
      <c r="I93" s="53">
        <f t="shared" si="31"/>
        <v>800000</v>
      </c>
      <c r="J93" s="53">
        <v>150000</v>
      </c>
      <c r="K93" s="53">
        <f t="shared" si="32"/>
        <v>156300</v>
      </c>
      <c r="L93" s="176">
        <f t="shared" si="33"/>
        <v>163177.20000000001</v>
      </c>
    </row>
    <row r="94" spans="1:16" x14ac:dyDescent="0.3">
      <c r="A94" s="52" t="s">
        <v>29</v>
      </c>
      <c r="B94" s="52" t="s">
        <v>30</v>
      </c>
      <c r="C94" s="53">
        <v>200000</v>
      </c>
      <c r="D94" s="53"/>
      <c r="E94" s="53">
        <f t="shared" si="34"/>
        <v>200000</v>
      </c>
      <c r="F94" s="53"/>
      <c r="G94" s="53">
        <f t="shared" si="30"/>
        <v>200000</v>
      </c>
      <c r="H94" s="53">
        <f>-100000-100000</f>
        <v>-200000</v>
      </c>
      <c r="I94" s="53">
        <f t="shared" si="31"/>
        <v>0</v>
      </c>
      <c r="J94" s="53">
        <v>150000</v>
      </c>
      <c r="K94" s="53">
        <f t="shared" si="32"/>
        <v>156300</v>
      </c>
      <c r="L94" s="176">
        <f t="shared" si="33"/>
        <v>163177.20000000001</v>
      </c>
    </row>
    <row r="95" spans="1:16" x14ac:dyDescent="0.3">
      <c r="A95" s="52"/>
      <c r="B95" s="52"/>
      <c r="C95" s="53">
        <v>0</v>
      </c>
      <c r="D95" s="53"/>
      <c r="E95" s="53">
        <f t="shared" si="34"/>
        <v>0</v>
      </c>
      <c r="F95" s="53"/>
      <c r="G95" s="53">
        <f t="shared" si="30"/>
        <v>0</v>
      </c>
      <c r="H95" s="53"/>
      <c r="I95" s="53">
        <f t="shared" si="31"/>
        <v>0</v>
      </c>
      <c r="J95" s="53">
        <v>0</v>
      </c>
      <c r="K95" s="53">
        <f t="shared" si="32"/>
        <v>0</v>
      </c>
      <c r="L95" s="176">
        <f t="shared" si="33"/>
        <v>0</v>
      </c>
    </row>
    <row r="96" spans="1:16" x14ac:dyDescent="0.3">
      <c r="A96" s="52" t="s">
        <v>589</v>
      </c>
      <c r="B96" s="52" t="s">
        <v>28</v>
      </c>
      <c r="C96" s="53">
        <v>250000</v>
      </c>
      <c r="D96" s="53"/>
      <c r="E96" s="53">
        <f t="shared" si="34"/>
        <v>250000</v>
      </c>
      <c r="F96" s="53"/>
      <c r="G96" s="53">
        <f t="shared" si="30"/>
        <v>250000</v>
      </c>
      <c r="H96" s="53">
        <f>-100000-6120</f>
        <v>-106120</v>
      </c>
      <c r="I96" s="53">
        <f t="shared" si="31"/>
        <v>143880</v>
      </c>
      <c r="J96" s="53">
        <v>200000</v>
      </c>
      <c r="K96" s="53">
        <f t="shared" si="32"/>
        <v>208400</v>
      </c>
      <c r="L96" s="176">
        <f t="shared" si="33"/>
        <v>217569.6</v>
      </c>
    </row>
    <row r="97" spans="1:17" x14ac:dyDescent="0.3">
      <c r="A97" s="52" t="s">
        <v>657</v>
      </c>
      <c r="B97" s="52" t="s">
        <v>658</v>
      </c>
      <c r="C97" s="53">
        <v>50000</v>
      </c>
      <c r="D97" s="53"/>
      <c r="E97" s="53">
        <f t="shared" si="34"/>
        <v>50000</v>
      </c>
      <c r="F97" s="53"/>
      <c r="G97" s="53">
        <f t="shared" si="30"/>
        <v>50000</v>
      </c>
      <c r="H97" s="53">
        <v>10000</v>
      </c>
      <c r="I97" s="53">
        <f t="shared" si="31"/>
        <v>60000</v>
      </c>
      <c r="J97" s="53">
        <v>0</v>
      </c>
      <c r="K97" s="53">
        <f t="shared" si="32"/>
        <v>0</v>
      </c>
      <c r="L97" s="176">
        <f t="shared" si="33"/>
        <v>0</v>
      </c>
    </row>
    <row r="98" spans="1:17" x14ac:dyDescent="0.3">
      <c r="A98" s="52" t="s">
        <v>446</v>
      </c>
      <c r="B98" s="52" t="s">
        <v>49</v>
      </c>
      <c r="C98" s="53">
        <v>5000</v>
      </c>
      <c r="D98" s="53"/>
      <c r="E98" s="53">
        <f t="shared" si="34"/>
        <v>5000</v>
      </c>
      <c r="F98" s="53"/>
      <c r="G98" s="53">
        <f t="shared" si="30"/>
        <v>5000</v>
      </c>
      <c r="H98" s="53"/>
      <c r="I98" s="53">
        <f t="shared" si="31"/>
        <v>5000</v>
      </c>
      <c r="J98" s="53">
        <v>5000</v>
      </c>
      <c r="K98" s="53">
        <f t="shared" si="32"/>
        <v>5210</v>
      </c>
      <c r="L98" s="176">
        <f t="shared" si="33"/>
        <v>5439.24</v>
      </c>
    </row>
    <row r="99" spans="1:17" x14ac:dyDescent="0.3">
      <c r="A99" s="52" t="s">
        <v>1274</v>
      </c>
      <c r="B99" s="52" t="s">
        <v>48</v>
      </c>
      <c r="C99" s="53">
        <v>92565.53207500001</v>
      </c>
      <c r="D99" s="53"/>
      <c r="E99" s="53">
        <f t="shared" si="34"/>
        <v>92565.53207500001</v>
      </c>
      <c r="F99" s="53"/>
      <c r="G99" s="53">
        <f t="shared" si="30"/>
        <v>92565.53207500001</v>
      </c>
      <c r="H99" s="53"/>
      <c r="I99" s="53">
        <f t="shared" si="31"/>
        <v>92565.53207500001</v>
      </c>
      <c r="J99" s="53">
        <v>93338.184018923639</v>
      </c>
      <c r="K99" s="53">
        <f t="shared" si="32"/>
        <v>97258.387747718429</v>
      </c>
      <c r="L99" s="176">
        <f t="shared" si="33"/>
        <v>101537.75680861804</v>
      </c>
    </row>
    <row r="100" spans="1:17" ht="13.5" thickBot="1" x14ac:dyDescent="0.35">
      <c r="A100" s="84" t="s">
        <v>1203</v>
      </c>
      <c r="B100" s="84" t="s">
        <v>31</v>
      </c>
      <c r="C100" s="53">
        <v>300000</v>
      </c>
      <c r="D100" s="53"/>
      <c r="E100" s="53">
        <f t="shared" si="34"/>
        <v>300000</v>
      </c>
      <c r="F100" s="53"/>
      <c r="G100" s="53">
        <f t="shared" si="30"/>
        <v>300000</v>
      </c>
      <c r="H100" s="53">
        <v>25000</v>
      </c>
      <c r="I100" s="53">
        <f t="shared" si="31"/>
        <v>325000</v>
      </c>
      <c r="J100" s="53">
        <v>300000</v>
      </c>
      <c r="K100" s="53">
        <f t="shared" si="32"/>
        <v>312600</v>
      </c>
      <c r="L100" s="176">
        <f t="shared" si="33"/>
        <v>326354.40000000002</v>
      </c>
    </row>
    <row r="101" spans="1:17" s="77" customFormat="1" ht="13.5" thickBot="1" x14ac:dyDescent="0.35">
      <c r="A101" s="57" t="s">
        <v>674</v>
      </c>
      <c r="B101" s="57"/>
      <c r="C101" s="59">
        <f>SUM(C72:C100)</f>
        <v>11812565.532075001</v>
      </c>
      <c r="D101" s="59">
        <f t="shared" ref="D101:L101" si="35">SUM(D72:D100)</f>
        <v>0</v>
      </c>
      <c r="E101" s="59">
        <f t="shared" si="35"/>
        <v>11812565.532075001</v>
      </c>
      <c r="F101" s="59">
        <f t="shared" si="35"/>
        <v>0</v>
      </c>
      <c r="G101" s="59">
        <f t="shared" si="35"/>
        <v>11812565.532075001</v>
      </c>
      <c r="H101" s="59">
        <f t="shared" si="35"/>
        <v>1025000</v>
      </c>
      <c r="I101" s="59">
        <f t="shared" si="35"/>
        <v>12837565.532075001</v>
      </c>
      <c r="J101" s="59">
        <f t="shared" si="35"/>
        <v>11183338.184018923</v>
      </c>
      <c r="K101" s="59">
        <f t="shared" si="35"/>
        <v>11653038.387747718</v>
      </c>
      <c r="L101" s="177">
        <f t="shared" si="35"/>
        <v>5421114.4768086188</v>
      </c>
      <c r="M101" s="180"/>
      <c r="N101" s="193"/>
      <c r="O101" s="193"/>
      <c r="P101" s="193"/>
    </row>
    <row r="102" spans="1:17" s="77" customFormat="1" ht="13.5" thickTop="1" x14ac:dyDescent="0.3">
      <c r="A102" s="60"/>
      <c r="B102" s="60"/>
      <c r="C102" s="78"/>
      <c r="D102" s="78"/>
      <c r="E102" s="53">
        <f t="shared" si="34"/>
        <v>0</v>
      </c>
      <c r="F102" s="62"/>
      <c r="G102" s="62"/>
      <c r="H102" s="62"/>
      <c r="I102" s="62"/>
      <c r="J102" s="62"/>
      <c r="K102" s="78"/>
      <c r="L102" s="178"/>
      <c r="M102" s="180"/>
      <c r="N102" s="193"/>
      <c r="O102" s="193"/>
      <c r="P102" s="193"/>
    </row>
    <row r="103" spans="1:17" x14ac:dyDescent="0.3">
      <c r="A103" s="51" t="s">
        <v>77</v>
      </c>
      <c r="B103" s="52"/>
      <c r="C103" s="53"/>
      <c r="D103" s="53"/>
      <c r="E103" s="53">
        <f t="shared" si="34"/>
        <v>0</v>
      </c>
      <c r="F103" s="53"/>
      <c r="G103" s="53"/>
      <c r="H103" s="53"/>
      <c r="I103" s="53"/>
      <c r="J103" s="53"/>
      <c r="K103" s="53"/>
      <c r="L103" s="176"/>
    </row>
    <row r="104" spans="1:17" x14ac:dyDescent="0.3">
      <c r="A104" s="52" t="s">
        <v>616</v>
      </c>
      <c r="B104" s="52" t="s">
        <v>631</v>
      </c>
      <c r="C104" s="53">
        <v>0</v>
      </c>
      <c r="D104" s="53"/>
      <c r="E104" s="53">
        <f t="shared" si="34"/>
        <v>0</v>
      </c>
      <c r="F104" s="53"/>
      <c r="G104" s="53"/>
      <c r="H104" s="53"/>
      <c r="I104" s="53"/>
      <c r="J104" s="53"/>
      <c r="K104" s="53">
        <f t="shared" ref="K104" si="36">C104*104.6%</f>
        <v>0</v>
      </c>
      <c r="L104" s="176">
        <f t="shared" ref="L104" si="37">K104*104.6%</f>
        <v>0</v>
      </c>
    </row>
    <row r="105" spans="1:17" x14ac:dyDescent="0.3">
      <c r="A105" s="52" t="s">
        <v>621</v>
      </c>
      <c r="B105" s="52" t="s">
        <v>636</v>
      </c>
      <c r="C105" s="53">
        <v>3131.5200000000009</v>
      </c>
      <c r="D105" s="53"/>
      <c r="E105" s="53">
        <f t="shared" si="34"/>
        <v>3131.5200000000009</v>
      </c>
      <c r="F105" s="53"/>
      <c r="G105" s="53">
        <f t="shared" ref="G105:G122" si="38">E105+F105</f>
        <v>3131.5200000000009</v>
      </c>
      <c r="H105" s="53"/>
      <c r="I105" s="53">
        <f t="shared" ref="I105:I122" si="39">G105+H105</f>
        <v>3131.5200000000009</v>
      </c>
      <c r="J105" s="53">
        <v>3131.5200000000009</v>
      </c>
      <c r="K105" s="53">
        <f t="shared" ref="K105:K122" si="40">J105*104.2%</f>
        <v>3263.0438400000012</v>
      </c>
      <c r="L105" s="176">
        <f t="shared" ref="L105:L122" si="41">K105*104.4%</f>
        <v>3406.6177689600013</v>
      </c>
    </row>
    <row r="106" spans="1:17" x14ac:dyDescent="0.3">
      <c r="A106" s="52" t="s">
        <v>627</v>
      </c>
      <c r="B106" s="52" t="s">
        <v>645</v>
      </c>
      <c r="C106" s="53">
        <v>662127.26958333328</v>
      </c>
      <c r="D106" s="53"/>
      <c r="E106" s="53">
        <f t="shared" si="34"/>
        <v>662127.26958333328</v>
      </c>
      <c r="F106" s="53"/>
      <c r="G106" s="53">
        <f t="shared" si="38"/>
        <v>662127.26958333328</v>
      </c>
      <c r="H106" s="53">
        <v>-99566.779583333293</v>
      </c>
      <c r="I106" s="53">
        <f t="shared" si="39"/>
        <v>562560.49</v>
      </c>
      <c r="J106" s="53">
        <v>764166.28511369706</v>
      </c>
      <c r="K106" s="53">
        <f t="shared" si="40"/>
        <v>796261.26908847236</v>
      </c>
      <c r="L106" s="176">
        <f t="shared" si="41"/>
        <v>831296.76492836513</v>
      </c>
      <c r="Q106" s="93"/>
    </row>
    <row r="107" spans="1:17" x14ac:dyDescent="0.3">
      <c r="A107" s="52" t="s">
        <v>596</v>
      </c>
      <c r="B107" s="52" t="s">
        <v>641</v>
      </c>
      <c r="C107" s="53">
        <v>195360</v>
      </c>
      <c r="D107" s="53"/>
      <c r="E107" s="53">
        <f t="shared" si="34"/>
        <v>195360</v>
      </c>
      <c r="F107" s="53"/>
      <c r="G107" s="53">
        <f t="shared" si="38"/>
        <v>195360</v>
      </c>
      <c r="H107" s="53">
        <v>8405.7600000000093</v>
      </c>
      <c r="I107" s="53">
        <f t="shared" si="39"/>
        <v>203765.76000000001</v>
      </c>
      <c r="J107" s="53">
        <v>215991.70560000002</v>
      </c>
      <c r="K107" s="53">
        <f t="shared" si="40"/>
        <v>225063.35723520003</v>
      </c>
      <c r="L107" s="176">
        <f t="shared" si="41"/>
        <v>234966.14495354885</v>
      </c>
    </row>
    <row r="108" spans="1:17" x14ac:dyDescent="0.3">
      <c r="A108" s="52" t="s">
        <v>622</v>
      </c>
      <c r="B108" s="52" t="s">
        <v>638</v>
      </c>
      <c r="C108" s="53">
        <v>100000</v>
      </c>
      <c r="D108" s="53"/>
      <c r="E108" s="53">
        <f t="shared" si="34"/>
        <v>100000</v>
      </c>
      <c r="F108" s="53"/>
      <c r="G108" s="53">
        <f t="shared" si="38"/>
        <v>100000</v>
      </c>
      <c r="H108" s="53">
        <v>-100000</v>
      </c>
      <c r="I108" s="53">
        <f t="shared" si="39"/>
        <v>0</v>
      </c>
      <c r="J108" s="53"/>
      <c r="K108" s="53">
        <f t="shared" si="40"/>
        <v>0</v>
      </c>
      <c r="L108" s="176">
        <f t="shared" si="41"/>
        <v>0</v>
      </c>
    </row>
    <row r="109" spans="1:17" x14ac:dyDescent="0.3">
      <c r="A109" s="52" t="s">
        <v>628</v>
      </c>
      <c r="B109" s="52" t="s">
        <v>646</v>
      </c>
      <c r="C109" s="53">
        <v>609538.80000000005</v>
      </c>
      <c r="D109" s="53"/>
      <c r="E109" s="53">
        <f t="shared" si="34"/>
        <v>609538.80000000005</v>
      </c>
      <c r="F109" s="53"/>
      <c r="G109" s="53">
        <f t="shared" si="38"/>
        <v>609538.80000000005</v>
      </c>
      <c r="H109" s="53">
        <v>1758.4799999999814</v>
      </c>
      <c r="I109" s="53">
        <f t="shared" si="39"/>
        <v>611297.28000000003</v>
      </c>
      <c r="J109" s="53">
        <v>647975.11680000008</v>
      </c>
      <c r="K109" s="53">
        <f t="shared" si="40"/>
        <v>675190.07170560013</v>
      </c>
      <c r="L109" s="176">
        <f t="shared" si="41"/>
        <v>704898.43486064661</v>
      </c>
    </row>
    <row r="110" spans="1:17" x14ac:dyDescent="0.3">
      <c r="A110" s="52" t="s">
        <v>618</v>
      </c>
      <c r="B110" s="52" t="s">
        <v>633</v>
      </c>
      <c r="C110" s="53">
        <v>1784.6399999999999</v>
      </c>
      <c r="D110" s="53"/>
      <c r="E110" s="53">
        <f t="shared" si="34"/>
        <v>1784.6399999999999</v>
      </c>
      <c r="F110" s="53"/>
      <c r="G110" s="53">
        <f t="shared" si="38"/>
        <v>1784.6399999999999</v>
      </c>
      <c r="H110" s="53">
        <v>0</v>
      </c>
      <c r="I110" s="53">
        <f t="shared" si="39"/>
        <v>1784.6399999999999</v>
      </c>
      <c r="J110" s="53">
        <v>1784.6399999999999</v>
      </c>
      <c r="K110" s="53">
        <f t="shared" si="40"/>
        <v>1859.5948799999999</v>
      </c>
      <c r="L110" s="176">
        <f t="shared" si="41"/>
        <v>1941.4170547199999</v>
      </c>
    </row>
    <row r="111" spans="1:17" x14ac:dyDescent="0.3">
      <c r="A111" s="52" t="s">
        <v>619</v>
      </c>
      <c r="B111" s="52" t="s">
        <v>634</v>
      </c>
      <c r="C111" s="53">
        <v>54466.2</v>
      </c>
      <c r="D111" s="53"/>
      <c r="E111" s="53">
        <f t="shared" si="34"/>
        <v>54466.2</v>
      </c>
      <c r="F111" s="53"/>
      <c r="G111" s="53">
        <f t="shared" si="38"/>
        <v>54466.2</v>
      </c>
      <c r="H111" s="53">
        <v>2723.5200000000041</v>
      </c>
      <c r="I111" s="53">
        <f t="shared" si="39"/>
        <v>57189.72</v>
      </c>
      <c r="J111" s="53">
        <v>61342.83600000001</v>
      </c>
      <c r="K111" s="53">
        <f t="shared" si="40"/>
        <v>63919.235112000009</v>
      </c>
      <c r="L111" s="176">
        <f t="shared" si="41"/>
        <v>66731.68145692801</v>
      </c>
    </row>
    <row r="112" spans="1:17" x14ac:dyDescent="0.3">
      <c r="A112" s="52" t="s">
        <v>448</v>
      </c>
      <c r="B112" s="52" t="s">
        <v>644</v>
      </c>
      <c r="C112" s="53">
        <v>500000</v>
      </c>
      <c r="D112" s="53"/>
      <c r="E112" s="53">
        <f t="shared" si="34"/>
        <v>500000</v>
      </c>
      <c r="F112" s="53"/>
      <c r="G112" s="53">
        <f t="shared" si="38"/>
        <v>500000</v>
      </c>
      <c r="H112" s="53">
        <v>0</v>
      </c>
      <c r="I112" s="53">
        <f t="shared" si="39"/>
        <v>500000</v>
      </c>
      <c r="J112" s="53">
        <v>500000</v>
      </c>
      <c r="K112" s="53">
        <f t="shared" si="40"/>
        <v>521000</v>
      </c>
      <c r="L112" s="176">
        <f t="shared" si="41"/>
        <v>543924</v>
      </c>
    </row>
    <row r="113" spans="1:17" x14ac:dyDescent="0.3">
      <c r="A113" s="52" t="s">
        <v>624</v>
      </c>
      <c r="B113" s="52" t="s">
        <v>640</v>
      </c>
      <c r="C113" s="53">
        <v>280000</v>
      </c>
      <c r="D113" s="53"/>
      <c r="E113" s="53">
        <f t="shared" si="34"/>
        <v>280000</v>
      </c>
      <c r="F113" s="53"/>
      <c r="G113" s="53">
        <f t="shared" si="38"/>
        <v>280000</v>
      </c>
      <c r="H113" s="53">
        <v>805890.47</v>
      </c>
      <c r="I113" s="53">
        <f t="shared" si="39"/>
        <v>1085890.47</v>
      </c>
      <c r="J113" s="53">
        <v>1085890.47</v>
      </c>
      <c r="K113" s="53">
        <f t="shared" si="40"/>
        <v>1131497.86974</v>
      </c>
      <c r="L113" s="176">
        <f t="shared" si="41"/>
        <v>1181283.7760085601</v>
      </c>
    </row>
    <row r="114" spans="1:17" x14ac:dyDescent="0.3">
      <c r="A114" s="52" t="s">
        <v>1205</v>
      </c>
      <c r="B114" s="52" t="s">
        <v>637</v>
      </c>
      <c r="C114" s="53">
        <v>100000</v>
      </c>
      <c r="D114" s="53"/>
      <c r="E114" s="53">
        <f t="shared" si="34"/>
        <v>100000</v>
      </c>
      <c r="F114" s="53"/>
      <c r="G114" s="53">
        <f t="shared" si="38"/>
        <v>100000</v>
      </c>
      <c r="H114" s="53">
        <v>-55000</v>
      </c>
      <c r="I114" s="53">
        <f t="shared" si="39"/>
        <v>45000</v>
      </c>
      <c r="J114" s="53">
        <v>45000</v>
      </c>
      <c r="K114" s="53">
        <f t="shared" si="40"/>
        <v>46890</v>
      </c>
      <c r="L114" s="176">
        <f t="shared" si="41"/>
        <v>48953.16</v>
      </c>
    </row>
    <row r="115" spans="1:17" x14ac:dyDescent="0.3">
      <c r="A115" s="52" t="s">
        <v>626</v>
      </c>
      <c r="B115" s="52" t="s">
        <v>643</v>
      </c>
      <c r="C115" s="53">
        <v>597735.6</v>
      </c>
      <c r="D115" s="53"/>
      <c r="E115" s="53">
        <f t="shared" si="34"/>
        <v>597735.6</v>
      </c>
      <c r="F115" s="53"/>
      <c r="G115" s="53">
        <f t="shared" si="38"/>
        <v>597735.6</v>
      </c>
      <c r="H115" s="53">
        <v>20812.080000000075</v>
      </c>
      <c r="I115" s="53">
        <f t="shared" si="39"/>
        <v>618547.68000000005</v>
      </c>
      <c r="J115" s="53">
        <v>618547.68000000005</v>
      </c>
      <c r="K115" s="53">
        <f t="shared" si="40"/>
        <v>644526.6825600001</v>
      </c>
      <c r="L115" s="176">
        <f t="shared" si="41"/>
        <v>672885.85659264016</v>
      </c>
    </row>
    <row r="116" spans="1:17" x14ac:dyDescent="0.3">
      <c r="A116" s="52" t="s">
        <v>623</v>
      </c>
      <c r="B116" s="52" t="s">
        <v>639</v>
      </c>
      <c r="C116" s="53">
        <v>75000</v>
      </c>
      <c r="D116" s="53"/>
      <c r="E116" s="53">
        <f t="shared" si="34"/>
        <v>75000</v>
      </c>
      <c r="F116" s="53"/>
      <c r="G116" s="53">
        <f t="shared" si="38"/>
        <v>75000</v>
      </c>
      <c r="H116" s="53">
        <v>0</v>
      </c>
      <c r="I116" s="53">
        <f t="shared" si="39"/>
        <v>75000</v>
      </c>
      <c r="J116" s="53">
        <v>75000</v>
      </c>
      <c r="K116" s="53">
        <f t="shared" si="40"/>
        <v>78150</v>
      </c>
      <c r="L116" s="176">
        <f t="shared" si="41"/>
        <v>81588.600000000006</v>
      </c>
    </row>
    <row r="117" spans="1:17" x14ac:dyDescent="0.3">
      <c r="A117" s="52" t="s">
        <v>629</v>
      </c>
      <c r="B117" s="52" t="s">
        <v>647</v>
      </c>
      <c r="C117" s="53">
        <v>1506995.7206624998</v>
      </c>
      <c r="D117" s="53"/>
      <c r="E117" s="53">
        <f t="shared" si="34"/>
        <v>1506995.7206624998</v>
      </c>
      <c r="F117" s="53"/>
      <c r="G117" s="53">
        <f t="shared" si="38"/>
        <v>1506995.7206624998</v>
      </c>
      <c r="H117" s="53">
        <v>122898.86933750007</v>
      </c>
      <c r="I117" s="53">
        <f t="shared" si="39"/>
        <v>1629894.5899999999</v>
      </c>
      <c r="J117" s="53">
        <v>1843469.5058886658</v>
      </c>
      <c r="K117" s="53">
        <f t="shared" si="40"/>
        <v>1920895.2251359897</v>
      </c>
      <c r="L117" s="176">
        <f t="shared" si="41"/>
        <v>2005414.6150419733</v>
      </c>
    </row>
    <row r="118" spans="1:17" x14ac:dyDescent="0.3">
      <c r="A118" s="52" t="s">
        <v>630</v>
      </c>
      <c r="B118" s="52" t="s">
        <v>648</v>
      </c>
      <c r="C118" s="53">
        <v>7945527.2350000003</v>
      </c>
      <c r="D118" s="53"/>
      <c r="E118" s="53">
        <f t="shared" si="34"/>
        <v>7945527.2350000003</v>
      </c>
      <c r="F118" s="53"/>
      <c r="G118" s="53">
        <f t="shared" si="38"/>
        <v>7945527.2350000003</v>
      </c>
      <c r="H118" s="53">
        <v>-724906.50499999989</v>
      </c>
      <c r="I118" s="53">
        <f t="shared" si="39"/>
        <v>7220620.7300000004</v>
      </c>
      <c r="J118" s="53">
        <v>8571154.8469643649</v>
      </c>
      <c r="K118" s="53">
        <f t="shared" si="40"/>
        <v>8931143.350536868</v>
      </c>
      <c r="L118" s="176">
        <f t="shared" si="41"/>
        <v>9324113.6579604913</v>
      </c>
    </row>
    <row r="119" spans="1:17" x14ac:dyDescent="0.3">
      <c r="A119" s="52" t="s">
        <v>617</v>
      </c>
      <c r="B119" s="52" t="s">
        <v>632</v>
      </c>
      <c r="C119" s="53">
        <v>0</v>
      </c>
      <c r="D119" s="53"/>
      <c r="E119" s="53">
        <f t="shared" si="34"/>
        <v>0</v>
      </c>
      <c r="F119" s="53"/>
      <c r="G119" s="53">
        <f t="shared" si="38"/>
        <v>0</v>
      </c>
      <c r="H119" s="53">
        <v>0</v>
      </c>
      <c r="I119" s="53">
        <f t="shared" si="39"/>
        <v>0</v>
      </c>
      <c r="J119" s="53"/>
      <c r="K119" s="53">
        <f t="shared" si="40"/>
        <v>0</v>
      </c>
      <c r="L119" s="176">
        <f t="shared" si="41"/>
        <v>0</v>
      </c>
    </row>
    <row r="120" spans="1:17" x14ac:dyDescent="0.3">
      <c r="A120" s="52" t="s">
        <v>1327</v>
      </c>
      <c r="B120" s="52" t="s">
        <v>1328</v>
      </c>
      <c r="C120" s="53"/>
      <c r="D120" s="53"/>
      <c r="E120" s="53"/>
      <c r="F120" s="53"/>
      <c r="G120" s="53">
        <f t="shared" si="38"/>
        <v>0</v>
      </c>
      <c r="H120" s="53">
        <v>0</v>
      </c>
      <c r="I120" s="53">
        <f t="shared" si="39"/>
        <v>0</v>
      </c>
      <c r="J120" s="53"/>
      <c r="K120" s="53">
        <f t="shared" si="40"/>
        <v>0</v>
      </c>
      <c r="L120" s="176">
        <f t="shared" si="41"/>
        <v>0</v>
      </c>
    </row>
    <row r="121" spans="1:17" x14ac:dyDescent="0.3">
      <c r="A121" s="52" t="s">
        <v>620</v>
      </c>
      <c r="B121" s="52" t="s">
        <v>635</v>
      </c>
      <c r="C121" s="53">
        <v>44267.87999999999</v>
      </c>
      <c r="D121" s="53"/>
      <c r="E121" s="53">
        <f t="shared" si="34"/>
        <v>44267.87999999999</v>
      </c>
      <c r="F121" s="53"/>
      <c r="G121" s="53">
        <f t="shared" si="38"/>
        <v>44267.87999999999</v>
      </c>
      <c r="H121" s="53">
        <v>0</v>
      </c>
      <c r="I121" s="53">
        <f t="shared" si="39"/>
        <v>44267.87999999999</v>
      </c>
      <c r="J121" s="53">
        <v>44267.87999999999</v>
      </c>
      <c r="K121" s="53">
        <f t="shared" si="40"/>
        <v>46127.130959999995</v>
      </c>
      <c r="L121" s="176">
        <f t="shared" si="41"/>
        <v>48156.724722239996</v>
      </c>
    </row>
    <row r="122" spans="1:17" ht="13.5" thickBot="1" x14ac:dyDescent="0.35">
      <c r="A122" s="52" t="s">
        <v>625</v>
      </c>
      <c r="B122" s="52" t="s">
        <v>642</v>
      </c>
      <c r="C122" s="53">
        <v>260707.15500000003</v>
      </c>
      <c r="D122" s="53"/>
      <c r="E122" s="53">
        <f t="shared" si="34"/>
        <v>260707.15500000003</v>
      </c>
      <c r="F122" s="53"/>
      <c r="G122" s="53">
        <f t="shared" si="38"/>
        <v>260707.15500000003</v>
      </c>
      <c r="H122" s="53">
        <v>4.9999999755527824E-3</v>
      </c>
      <c r="I122" s="53">
        <f t="shared" si="39"/>
        <v>260707.16</v>
      </c>
      <c r="J122" s="53">
        <v>275699.34998400009</v>
      </c>
      <c r="K122" s="53">
        <f t="shared" si="40"/>
        <v>287278.72268332809</v>
      </c>
      <c r="L122" s="176">
        <f t="shared" si="41"/>
        <v>299918.98648139456</v>
      </c>
    </row>
    <row r="123" spans="1:17" s="77" customFormat="1" ht="13.5" thickBot="1" x14ac:dyDescent="0.35">
      <c r="A123" s="57" t="s">
        <v>66</v>
      </c>
      <c r="B123" s="57"/>
      <c r="C123" s="59">
        <f>SUM(C104:C122)</f>
        <v>12936642.020245835</v>
      </c>
      <c r="D123" s="59">
        <f t="shared" ref="D123:L123" si="42">SUM(D104:D122)</f>
        <v>0</v>
      </c>
      <c r="E123" s="59">
        <f t="shared" si="42"/>
        <v>12936642.020245835</v>
      </c>
      <c r="F123" s="59">
        <f t="shared" si="42"/>
        <v>0</v>
      </c>
      <c r="G123" s="59">
        <f t="shared" si="42"/>
        <v>12936642.020245835</v>
      </c>
      <c r="H123" s="59">
        <f t="shared" si="42"/>
        <v>-16984.100245833077</v>
      </c>
      <c r="I123" s="59">
        <f t="shared" si="42"/>
        <v>12919657.920000002</v>
      </c>
      <c r="J123" s="59">
        <f t="shared" si="42"/>
        <v>14753421.836350728</v>
      </c>
      <c r="K123" s="59">
        <f t="shared" si="42"/>
        <v>15373065.553477459</v>
      </c>
      <c r="L123" s="177">
        <f t="shared" si="42"/>
        <v>16049480.437830467</v>
      </c>
      <c r="M123" s="180"/>
      <c r="N123" s="193"/>
      <c r="O123" s="193"/>
      <c r="P123" s="193"/>
    </row>
    <row r="124" spans="1:17" s="77" customFormat="1" ht="13.5" thickTop="1" x14ac:dyDescent="0.3">
      <c r="A124" s="74"/>
      <c r="B124" s="74"/>
      <c r="C124" s="80"/>
      <c r="D124" s="80"/>
      <c r="E124" s="53">
        <f t="shared" si="34"/>
        <v>0</v>
      </c>
      <c r="F124" s="79"/>
      <c r="G124" s="79"/>
      <c r="H124" s="79"/>
      <c r="I124" s="79"/>
      <c r="J124" s="79"/>
      <c r="K124" s="80"/>
      <c r="L124" s="180"/>
      <c r="M124" s="180"/>
      <c r="N124" s="193"/>
      <c r="O124" s="193"/>
      <c r="P124" s="193"/>
    </row>
    <row r="125" spans="1:17" x14ac:dyDescent="0.3">
      <c r="A125" s="51" t="s">
        <v>81</v>
      </c>
      <c r="B125" s="53"/>
      <c r="C125" s="53"/>
      <c r="D125" s="53"/>
      <c r="E125" s="53">
        <f t="shared" si="34"/>
        <v>0</v>
      </c>
      <c r="F125" s="53"/>
      <c r="G125" s="53"/>
      <c r="H125" s="53"/>
      <c r="I125" s="53"/>
      <c r="J125" s="53"/>
      <c r="K125" s="53"/>
      <c r="L125" s="176"/>
      <c r="M125" s="108"/>
      <c r="N125" s="194"/>
      <c r="O125" s="194"/>
      <c r="P125" s="194"/>
    </row>
    <row r="126" spans="1:17" ht="13.5" thickBot="1" x14ac:dyDescent="0.35">
      <c r="A126" s="56" t="s">
        <v>63</v>
      </c>
      <c r="B126" s="56" t="s">
        <v>64</v>
      </c>
      <c r="C126" s="53">
        <v>650000</v>
      </c>
      <c r="D126" s="53"/>
      <c r="E126" s="53">
        <f t="shared" si="34"/>
        <v>650000</v>
      </c>
      <c r="F126" s="53"/>
      <c r="G126" s="53">
        <f>E126+F126</f>
        <v>650000</v>
      </c>
      <c r="H126" s="53">
        <v>83253.819999999949</v>
      </c>
      <c r="I126" s="53">
        <f>G126+H126</f>
        <v>733253.82</v>
      </c>
      <c r="J126" s="53">
        <v>750000</v>
      </c>
      <c r="K126" s="53">
        <f>J126*104.2%</f>
        <v>781500</v>
      </c>
      <c r="L126" s="176">
        <f>K126*104.4%</f>
        <v>815886</v>
      </c>
      <c r="Q126" s="93"/>
    </row>
    <row r="127" spans="1:17" s="77" customFormat="1" ht="13.5" thickBot="1" x14ac:dyDescent="0.35">
      <c r="A127" s="57" t="s">
        <v>66</v>
      </c>
      <c r="B127" s="57"/>
      <c r="C127" s="59">
        <f t="shared" ref="C127:L127" si="43">SUM(C126)</f>
        <v>650000</v>
      </c>
      <c r="D127" s="59">
        <f t="shared" si="43"/>
        <v>0</v>
      </c>
      <c r="E127" s="59">
        <f t="shared" si="43"/>
        <v>650000</v>
      </c>
      <c r="F127" s="59">
        <f t="shared" si="43"/>
        <v>0</v>
      </c>
      <c r="G127" s="59">
        <f t="shared" si="43"/>
        <v>650000</v>
      </c>
      <c r="H127" s="59">
        <f t="shared" si="43"/>
        <v>83253.819999999949</v>
      </c>
      <c r="I127" s="59">
        <f t="shared" si="43"/>
        <v>733253.82</v>
      </c>
      <c r="J127" s="59">
        <f t="shared" si="43"/>
        <v>750000</v>
      </c>
      <c r="K127" s="59">
        <f t="shared" si="43"/>
        <v>781500</v>
      </c>
      <c r="L127" s="177">
        <f t="shared" si="43"/>
        <v>815886</v>
      </c>
      <c r="M127" s="180"/>
      <c r="N127" s="193"/>
      <c r="O127" s="193"/>
      <c r="P127" s="193"/>
    </row>
    <row r="128" spans="1:17" s="77" customFormat="1" ht="14" thickTop="1" thickBot="1" x14ac:dyDescent="0.35">
      <c r="A128" s="60"/>
      <c r="B128" s="60"/>
      <c r="C128" s="78"/>
      <c r="D128" s="78"/>
      <c r="E128" s="53">
        <f t="shared" si="34"/>
        <v>0</v>
      </c>
      <c r="F128" s="62"/>
      <c r="G128" s="62"/>
      <c r="H128" s="62"/>
      <c r="I128" s="62"/>
      <c r="J128" s="62"/>
      <c r="K128" s="78"/>
      <c r="L128" s="178"/>
      <c r="M128" s="180"/>
      <c r="N128" s="193"/>
      <c r="O128" s="193"/>
      <c r="P128" s="193"/>
    </row>
    <row r="129" spans="1:16" s="77" customFormat="1" ht="13.5" thickBot="1" x14ac:dyDescent="0.35">
      <c r="A129" s="70" t="s">
        <v>711</v>
      </c>
      <c r="B129" s="57"/>
      <c r="C129" s="59">
        <f>C127+C123+C101+C68</f>
        <v>47399207.552320883</v>
      </c>
      <c r="D129" s="59">
        <f t="shared" ref="D129" si="44">D127+D123+D101+D68</f>
        <v>0</v>
      </c>
      <c r="E129" s="59">
        <f>E127+E123+E101+E68</f>
        <v>47399207.552320883</v>
      </c>
      <c r="F129" s="59">
        <f t="shared" ref="F129:L129" si="45">F127+F123+F101+F68</f>
        <v>0</v>
      </c>
      <c r="G129" s="59">
        <f t="shared" si="45"/>
        <v>47399207.552320883</v>
      </c>
      <c r="H129" s="59">
        <f t="shared" si="45"/>
        <v>1799942.2568969838</v>
      </c>
      <c r="I129" s="59">
        <f t="shared" si="45"/>
        <v>49199149.809217863</v>
      </c>
      <c r="J129" s="59">
        <f>J127+J123+J101+J68</f>
        <v>50182389.743913613</v>
      </c>
      <c r="K129" s="59">
        <f t="shared" si="45"/>
        <v>52231876.618177995</v>
      </c>
      <c r="L129" s="59">
        <f t="shared" si="45"/>
        <v>47785421.58937782</v>
      </c>
      <c r="M129" s="180"/>
      <c r="N129" s="193"/>
      <c r="O129" s="193"/>
      <c r="P129" s="193"/>
    </row>
    <row r="130" spans="1:16" s="77" customFormat="1" ht="13.5" thickTop="1" x14ac:dyDescent="0.3">
      <c r="A130" s="60"/>
      <c r="B130" s="60"/>
      <c r="C130" s="78"/>
      <c r="D130" s="78"/>
      <c r="E130" s="53">
        <f t="shared" si="34"/>
        <v>0</v>
      </c>
      <c r="F130" s="62"/>
      <c r="G130" s="62"/>
      <c r="H130" s="62"/>
      <c r="I130" s="62"/>
      <c r="J130" s="62"/>
      <c r="K130" s="78"/>
      <c r="L130" s="178"/>
      <c r="M130" s="180"/>
      <c r="N130" s="193"/>
      <c r="O130" s="193"/>
      <c r="P130" s="193"/>
    </row>
    <row r="131" spans="1:16" s="77" customFormat="1" x14ac:dyDescent="0.3">
      <c r="A131" s="51" t="s">
        <v>868</v>
      </c>
      <c r="B131" s="51"/>
      <c r="C131" s="67"/>
      <c r="D131" s="67"/>
      <c r="E131" s="53">
        <f t="shared" si="34"/>
        <v>0</v>
      </c>
      <c r="F131" s="53"/>
      <c r="G131" s="53"/>
      <c r="H131" s="53"/>
      <c r="I131" s="53"/>
      <c r="J131" s="53"/>
      <c r="K131" s="67"/>
      <c r="L131" s="185"/>
      <c r="M131" s="180"/>
      <c r="N131" s="193"/>
      <c r="O131" s="193"/>
      <c r="P131" s="193"/>
    </row>
    <row r="132" spans="1:16" s="77" customFormat="1" x14ac:dyDescent="0.3">
      <c r="A132" s="51"/>
      <c r="B132" s="51"/>
      <c r="C132" s="67"/>
      <c r="D132" s="67"/>
      <c r="E132" s="53">
        <f t="shared" si="34"/>
        <v>0</v>
      </c>
      <c r="F132" s="53"/>
      <c r="G132" s="53"/>
      <c r="H132" s="53"/>
      <c r="I132" s="53"/>
      <c r="J132" s="53"/>
      <c r="K132" s="67"/>
      <c r="L132" s="185"/>
      <c r="M132" s="180"/>
      <c r="N132" s="193"/>
      <c r="O132" s="193"/>
      <c r="P132" s="193"/>
    </row>
    <row r="133" spans="1:16" s="77" customFormat="1" x14ac:dyDescent="0.3">
      <c r="A133" s="51" t="s">
        <v>458</v>
      </c>
      <c r="B133" s="51"/>
      <c r="C133" s="67"/>
      <c r="D133" s="67"/>
      <c r="E133" s="53">
        <f t="shared" si="34"/>
        <v>0</v>
      </c>
      <c r="F133" s="53"/>
      <c r="G133" s="53"/>
      <c r="H133" s="53"/>
      <c r="I133" s="53"/>
      <c r="J133" s="53"/>
      <c r="K133" s="67"/>
      <c r="L133" s="185"/>
      <c r="M133" s="180"/>
      <c r="N133" s="193"/>
      <c r="O133" s="193"/>
      <c r="P133" s="193"/>
    </row>
    <row r="134" spans="1:16" s="77" customFormat="1" x14ac:dyDescent="0.3">
      <c r="A134" s="51"/>
      <c r="B134" s="51"/>
      <c r="C134" s="67"/>
      <c r="D134" s="67"/>
      <c r="E134" s="53">
        <f t="shared" si="34"/>
        <v>0</v>
      </c>
      <c r="F134" s="53"/>
      <c r="G134" s="53"/>
      <c r="H134" s="53"/>
      <c r="I134" s="53"/>
      <c r="J134" s="53"/>
      <c r="K134" s="67"/>
      <c r="L134" s="185"/>
      <c r="M134" s="180"/>
      <c r="N134" s="193"/>
      <c r="O134" s="193"/>
      <c r="P134" s="193"/>
    </row>
    <row r="135" spans="1:16" x14ac:dyDescent="0.3">
      <c r="A135" s="52" t="s">
        <v>1273</v>
      </c>
      <c r="B135" s="52" t="s">
        <v>502</v>
      </c>
      <c r="C135" s="53">
        <v>800000</v>
      </c>
      <c r="D135" s="53"/>
      <c r="E135" s="53">
        <f t="shared" si="34"/>
        <v>800000</v>
      </c>
      <c r="F135" s="53"/>
      <c r="G135" s="53">
        <f>E135+F135</f>
        <v>800000</v>
      </c>
      <c r="H135" s="53">
        <v>200000</v>
      </c>
      <c r="I135" s="53">
        <f>G135+H135</f>
        <v>1000000</v>
      </c>
      <c r="J135" s="53">
        <v>800000</v>
      </c>
      <c r="K135" s="53">
        <f t="shared" ref="K135:K136" si="46">J135*104.2%</f>
        <v>833600</v>
      </c>
      <c r="L135" s="176">
        <f t="shared" ref="L135:L136" si="47">K135*104.4%</f>
        <v>870278.4</v>
      </c>
    </row>
    <row r="136" spans="1:16" x14ac:dyDescent="0.3">
      <c r="A136" s="52" t="s">
        <v>1311</v>
      </c>
      <c r="B136" s="52" t="s">
        <v>712</v>
      </c>
      <c r="C136" s="53">
        <v>700000</v>
      </c>
      <c r="D136" s="53"/>
      <c r="E136" s="53">
        <f t="shared" si="34"/>
        <v>700000</v>
      </c>
      <c r="F136" s="53"/>
      <c r="G136" s="53">
        <f>E136+F136</f>
        <v>700000</v>
      </c>
      <c r="H136" s="53">
        <v>-400000</v>
      </c>
      <c r="I136" s="53">
        <f>G136+H136</f>
        <v>300000</v>
      </c>
      <c r="J136" s="53">
        <v>300000</v>
      </c>
      <c r="K136" s="53">
        <f t="shared" si="46"/>
        <v>312600</v>
      </c>
      <c r="L136" s="176">
        <f t="shared" si="47"/>
        <v>326354.40000000002</v>
      </c>
    </row>
    <row r="137" spans="1:16" ht="13.5" thickBot="1" x14ac:dyDescent="0.35">
      <c r="A137" s="56"/>
      <c r="B137" s="56"/>
      <c r="C137" s="69"/>
      <c r="D137" s="69"/>
      <c r="E137" s="53">
        <f t="shared" si="34"/>
        <v>0</v>
      </c>
      <c r="F137" s="69"/>
      <c r="G137" s="69"/>
      <c r="H137" s="69"/>
      <c r="I137" s="69"/>
      <c r="J137" s="69"/>
      <c r="K137" s="69"/>
      <c r="L137" s="186"/>
    </row>
    <row r="138" spans="1:16" ht="13.5" thickBot="1" x14ac:dyDescent="0.35">
      <c r="A138" s="57" t="s">
        <v>674</v>
      </c>
      <c r="B138" s="57"/>
      <c r="C138" s="59">
        <f>SUM(C135:C137)</f>
        <v>1500000</v>
      </c>
      <c r="D138" s="59">
        <f t="shared" ref="D138:L138" si="48">SUM(D135:D137)</f>
        <v>0</v>
      </c>
      <c r="E138" s="59">
        <f t="shared" si="48"/>
        <v>1500000</v>
      </c>
      <c r="F138" s="59">
        <f t="shared" si="48"/>
        <v>0</v>
      </c>
      <c r="G138" s="59">
        <f t="shared" si="48"/>
        <v>1500000</v>
      </c>
      <c r="H138" s="59">
        <f t="shared" si="48"/>
        <v>-200000</v>
      </c>
      <c r="I138" s="59">
        <f t="shared" si="48"/>
        <v>1300000</v>
      </c>
      <c r="J138" s="59">
        <f t="shared" si="48"/>
        <v>1100000</v>
      </c>
      <c r="K138" s="59">
        <f t="shared" si="48"/>
        <v>1146200</v>
      </c>
      <c r="L138" s="177">
        <f t="shared" si="48"/>
        <v>1196632.8</v>
      </c>
      <c r="M138" s="180"/>
      <c r="N138" s="193"/>
      <c r="O138" s="193"/>
    </row>
    <row r="139" spans="1:16" ht="13.5" thickTop="1" x14ac:dyDescent="0.3">
      <c r="A139" s="61"/>
      <c r="B139" s="61"/>
      <c r="C139" s="62"/>
      <c r="D139" s="62"/>
      <c r="E139" s="53">
        <f t="shared" si="34"/>
        <v>0</v>
      </c>
      <c r="F139" s="62"/>
      <c r="G139" s="62"/>
      <c r="H139" s="62"/>
      <c r="I139" s="62"/>
      <c r="J139" s="62"/>
      <c r="K139" s="62"/>
      <c r="L139" s="184"/>
    </row>
    <row r="140" spans="1:16" x14ac:dyDescent="0.3">
      <c r="A140" s="51" t="s">
        <v>77</v>
      </c>
      <c r="B140" s="52"/>
      <c r="C140" s="53"/>
      <c r="D140" s="53"/>
      <c r="E140" s="53">
        <f t="shared" si="34"/>
        <v>0</v>
      </c>
      <c r="F140" s="53"/>
      <c r="G140" s="53"/>
      <c r="H140" s="53"/>
      <c r="I140" s="53"/>
      <c r="J140" s="53"/>
      <c r="K140" s="53"/>
      <c r="L140" s="176"/>
    </row>
    <row r="141" spans="1:16" x14ac:dyDescent="0.3">
      <c r="A141" s="52"/>
      <c r="B141" s="52" t="s">
        <v>183</v>
      </c>
      <c r="C141" s="53">
        <v>0</v>
      </c>
      <c r="D141" s="53"/>
      <c r="E141" s="53">
        <f t="shared" si="34"/>
        <v>0</v>
      </c>
      <c r="F141" s="53"/>
      <c r="G141" s="53">
        <f t="shared" ref="G141:G149" si="49">E141+F141</f>
        <v>0</v>
      </c>
      <c r="H141" s="53"/>
      <c r="I141" s="53">
        <f t="shared" ref="I141:I149" si="50">G141+H141</f>
        <v>0</v>
      </c>
      <c r="J141" s="53"/>
      <c r="K141" s="53">
        <f t="shared" ref="K141:K149" si="51">C141*104.6%</f>
        <v>0</v>
      </c>
      <c r="L141" s="176">
        <f t="shared" ref="L141" si="52">K141*104.6%</f>
        <v>0</v>
      </c>
    </row>
    <row r="142" spans="1:16" x14ac:dyDescent="0.3">
      <c r="A142" s="52"/>
      <c r="B142" s="52" t="s">
        <v>174</v>
      </c>
      <c r="C142" s="53">
        <v>0</v>
      </c>
      <c r="D142" s="53"/>
      <c r="E142" s="53">
        <f t="shared" si="34"/>
        <v>0</v>
      </c>
      <c r="F142" s="53"/>
      <c r="G142" s="53">
        <f t="shared" si="49"/>
        <v>0</v>
      </c>
      <c r="H142" s="53"/>
      <c r="I142" s="53">
        <f t="shared" si="50"/>
        <v>0</v>
      </c>
      <c r="J142" s="53"/>
      <c r="K142" s="53">
        <f t="shared" si="51"/>
        <v>0</v>
      </c>
      <c r="L142" s="176">
        <f t="shared" ref="L142" si="53">K142*104.6%</f>
        <v>0</v>
      </c>
    </row>
    <row r="143" spans="1:16" x14ac:dyDescent="0.3">
      <c r="A143" s="52"/>
      <c r="B143" s="52" t="s">
        <v>180</v>
      </c>
      <c r="C143" s="53">
        <v>0</v>
      </c>
      <c r="D143" s="53"/>
      <c r="E143" s="53">
        <f t="shared" si="34"/>
        <v>0</v>
      </c>
      <c r="F143" s="53"/>
      <c r="G143" s="53">
        <f t="shared" si="49"/>
        <v>0</v>
      </c>
      <c r="H143" s="53"/>
      <c r="I143" s="53">
        <f t="shared" si="50"/>
        <v>0</v>
      </c>
      <c r="J143" s="53"/>
      <c r="K143" s="53">
        <f t="shared" si="51"/>
        <v>0</v>
      </c>
      <c r="L143" s="176">
        <f t="shared" ref="L143" si="54">K143*104.6%</f>
        <v>0</v>
      </c>
    </row>
    <row r="144" spans="1:16" x14ac:dyDescent="0.3">
      <c r="A144" s="52"/>
      <c r="B144" s="52" t="s">
        <v>57</v>
      </c>
      <c r="C144" s="53">
        <v>0</v>
      </c>
      <c r="D144" s="53"/>
      <c r="E144" s="53">
        <f t="shared" si="34"/>
        <v>0</v>
      </c>
      <c r="F144" s="53"/>
      <c r="G144" s="53">
        <f t="shared" si="49"/>
        <v>0</v>
      </c>
      <c r="H144" s="53"/>
      <c r="I144" s="53">
        <f t="shared" si="50"/>
        <v>0</v>
      </c>
      <c r="J144" s="53"/>
      <c r="K144" s="53">
        <f t="shared" si="51"/>
        <v>0</v>
      </c>
      <c r="L144" s="176">
        <f t="shared" ref="L144" si="55">K144*104.6%</f>
        <v>0</v>
      </c>
    </row>
    <row r="145" spans="1:15" x14ac:dyDescent="0.3">
      <c r="A145" s="52"/>
      <c r="B145" s="52" t="s">
        <v>166</v>
      </c>
      <c r="C145" s="53">
        <v>0</v>
      </c>
      <c r="D145" s="53"/>
      <c r="E145" s="53">
        <f t="shared" si="34"/>
        <v>0</v>
      </c>
      <c r="F145" s="53"/>
      <c r="G145" s="53">
        <f t="shared" si="49"/>
        <v>0</v>
      </c>
      <c r="H145" s="53"/>
      <c r="I145" s="53">
        <f t="shared" si="50"/>
        <v>0</v>
      </c>
      <c r="J145" s="53"/>
      <c r="K145" s="53">
        <f t="shared" si="51"/>
        <v>0</v>
      </c>
      <c r="L145" s="176">
        <f t="shared" ref="L145" si="56">K145*104.6%</f>
        <v>0</v>
      </c>
    </row>
    <row r="146" spans="1:15" x14ac:dyDescent="0.3">
      <c r="A146" s="52"/>
      <c r="B146" s="52" t="s">
        <v>171</v>
      </c>
      <c r="C146" s="53">
        <v>0</v>
      </c>
      <c r="D146" s="53"/>
      <c r="E146" s="53">
        <f t="shared" si="34"/>
        <v>0</v>
      </c>
      <c r="F146" s="53"/>
      <c r="G146" s="53">
        <f t="shared" si="49"/>
        <v>0</v>
      </c>
      <c r="H146" s="53"/>
      <c r="I146" s="53">
        <f t="shared" si="50"/>
        <v>0</v>
      </c>
      <c r="J146" s="53"/>
      <c r="K146" s="53">
        <f t="shared" si="51"/>
        <v>0</v>
      </c>
      <c r="L146" s="176">
        <f t="shared" ref="L146" si="57">K146*104.6%</f>
        <v>0</v>
      </c>
    </row>
    <row r="147" spans="1:15" x14ac:dyDescent="0.3">
      <c r="A147" s="52"/>
      <c r="B147" s="52" t="s">
        <v>190</v>
      </c>
      <c r="C147" s="53">
        <v>0</v>
      </c>
      <c r="D147" s="53"/>
      <c r="E147" s="53">
        <f t="shared" ref="E147:E156" si="58">C147+D147</f>
        <v>0</v>
      </c>
      <c r="F147" s="53"/>
      <c r="G147" s="53">
        <f t="shared" si="49"/>
        <v>0</v>
      </c>
      <c r="H147" s="53"/>
      <c r="I147" s="53">
        <f t="shared" si="50"/>
        <v>0</v>
      </c>
      <c r="J147" s="53"/>
      <c r="K147" s="53">
        <f t="shared" si="51"/>
        <v>0</v>
      </c>
      <c r="L147" s="176">
        <f t="shared" ref="L147" si="59">K147*104.6%</f>
        <v>0</v>
      </c>
    </row>
    <row r="148" spans="1:15" x14ac:dyDescent="0.3">
      <c r="A148" s="52"/>
      <c r="B148" s="52" t="s">
        <v>55</v>
      </c>
      <c r="C148" s="53">
        <v>0</v>
      </c>
      <c r="D148" s="53"/>
      <c r="E148" s="53">
        <f t="shared" si="58"/>
        <v>0</v>
      </c>
      <c r="F148" s="53"/>
      <c r="G148" s="53">
        <f t="shared" si="49"/>
        <v>0</v>
      </c>
      <c r="H148" s="53"/>
      <c r="I148" s="53">
        <f t="shared" si="50"/>
        <v>0</v>
      </c>
      <c r="J148" s="53"/>
      <c r="K148" s="53">
        <f t="shared" si="51"/>
        <v>0</v>
      </c>
      <c r="L148" s="176">
        <f t="shared" ref="L148" si="60">K148*104.6%</f>
        <v>0</v>
      </c>
    </row>
    <row r="149" spans="1:15" x14ac:dyDescent="0.3">
      <c r="A149" s="52"/>
      <c r="B149" s="52" t="s">
        <v>177</v>
      </c>
      <c r="C149" s="53">
        <v>0</v>
      </c>
      <c r="D149" s="53"/>
      <c r="E149" s="53">
        <f t="shared" si="58"/>
        <v>0</v>
      </c>
      <c r="F149" s="53"/>
      <c r="G149" s="53">
        <f t="shared" si="49"/>
        <v>0</v>
      </c>
      <c r="H149" s="53"/>
      <c r="I149" s="53">
        <f t="shared" si="50"/>
        <v>0</v>
      </c>
      <c r="J149" s="53"/>
      <c r="K149" s="53">
        <f t="shared" si="51"/>
        <v>0</v>
      </c>
      <c r="L149" s="176">
        <f t="shared" ref="L149" si="61">K149*104.6%</f>
        <v>0</v>
      </c>
    </row>
    <row r="150" spans="1:15" ht="13.5" thickBot="1" x14ac:dyDescent="0.35">
      <c r="A150" s="55"/>
      <c r="B150" s="55"/>
      <c r="C150" s="69"/>
      <c r="D150" s="69"/>
      <c r="E150" s="69">
        <f t="shared" si="58"/>
        <v>0</v>
      </c>
      <c r="F150" s="69"/>
      <c r="G150" s="69"/>
      <c r="H150" s="69"/>
      <c r="I150" s="69"/>
      <c r="J150" s="69"/>
      <c r="K150" s="69"/>
      <c r="L150" s="186"/>
    </row>
    <row r="151" spans="1:15" ht="13.5" thickBot="1" x14ac:dyDescent="0.35">
      <c r="A151" s="57" t="s">
        <v>201</v>
      </c>
      <c r="B151" s="57"/>
      <c r="C151" s="95">
        <f>SUM(C141:C150)</f>
        <v>0</v>
      </c>
      <c r="D151" s="95"/>
      <c r="E151" s="155">
        <f t="shared" si="58"/>
        <v>0</v>
      </c>
      <c r="F151" s="155">
        <f t="shared" ref="F151" si="62">D151+E151</f>
        <v>0</v>
      </c>
      <c r="G151" s="155">
        <f t="shared" ref="G151" si="63">E151+F151</f>
        <v>0</v>
      </c>
      <c r="H151" s="155">
        <f t="shared" ref="H151" si="64">F151+G151</f>
        <v>0</v>
      </c>
      <c r="I151" s="155">
        <f>G151+H151</f>
        <v>0</v>
      </c>
      <c r="J151" s="155"/>
      <c r="K151" s="155">
        <f>H151+I151</f>
        <v>0</v>
      </c>
      <c r="L151" s="187">
        <f t="shared" ref="L151" si="65">I151+K151</f>
        <v>0</v>
      </c>
    </row>
    <row r="152" spans="1:15" ht="14" thickTop="1" thickBot="1" x14ac:dyDescent="0.35">
      <c r="A152" s="73"/>
      <c r="B152" s="73"/>
      <c r="C152" s="79"/>
      <c r="D152" s="79"/>
      <c r="E152" s="62">
        <f t="shared" si="58"/>
        <v>0</v>
      </c>
      <c r="F152" s="79"/>
      <c r="G152" s="79"/>
      <c r="H152" s="79"/>
      <c r="I152" s="79"/>
      <c r="J152" s="79"/>
      <c r="K152" s="79"/>
      <c r="L152" s="179"/>
    </row>
    <row r="153" spans="1:15" ht="13.5" thickBot="1" x14ac:dyDescent="0.35">
      <c r="A153" s="70" t="s">
        <v>713</v>
      </c>
      <c r="B153" s="70"/>
      <c r="C153" s="72">
        <f>C151+C138</f>
        <v>1500000</v>
      </c>
      <c r="D153" s="72">
        <f t="shared" ref="D153:L153" si="66">D151+D138</f>
        <v>0</v>
      </c>
      <c r="E153" s="72">
        <f t="shared" si="66"/>
        <v>1500000</v>
      </c>
      <c r="F153" s="72">
        <f t="shared" si="66"/>
        <v>0</v>
      </c>
      <c r="G153" s="72">
        <f t="shared" si="66"/>
        <v>1500000</v>
      </c>
      <c r="H153" s="72">
        <f t="shared" si="66"/>
        <v>-200000</v>
      </c>
      <c r="I153" s="72">
        <f t="shared" si="66"/>
        <v>1300000</v>
      </c>
      <c r="J153" s="72">
        <f t="shared" si="66"/>
        <v>1100000</v>
      </c>
      <c r="K153" s="72">
        <f t="shared" si="66"/>
        <v>1146200</v>
      </c>
      <c r="L153" s="188">
        <f t="shared" si="66"/>
        <v>1196632.8</v>
      </c>
      <c r="M153" s="180"/>
      <c r="N153" s="193"/>
      <c r="O153" s="193"/>
    </row>
    <row r="154" spans="1:15" ht="14" thickTop="1" thickBot="1" x14ac:dyDescent="0.35">
      <c r="A154" s="73"/>
      <c r="B154" s="73"/>
      <c r="C154" s="79"/>
      <c r="D154" s="79"/>
      <c r="E154" s="53">
        <f t="shared" si="58"/>
        <v>0</v>
      </c>
      <c r="F154" s="79"/>
      <c r="G154" s="79"/>
      <c r="H154" s="79"/>
      <c r="I154" s="79"/>
      <c r="J154" s="79"/>
      <c r="K154" s="79"/>
      <c r="L154" s="179"/>
    </row>
    <row r="155" spans="1:15" ht="13.5" thickBot="1" x14ac:dyDescent="0.35">
      <c r="A155" s="70" t="s">
        <v>732</v>
      </c>
      <c r="B155" s="70"/>
      <c r="C155" s="72">
        <f>C153+C129</f>
        <v>48899207.552320883</v>
      </c>
      <c r="D155" s="72">
        <f t="shared" ref="D155:L155" si="67">D153+D129</f>
        <v>0</v>
      </c>
      <c r="E155" s="72">
        <f t="shared" si="67"/>
        <v>48899207.552320883</v>
      </c>
      <c r="F155" s="72">
        <f t="shared" si="67"/>
        <v>0</v>
      </c>
      <c r="G155" s="72">
        <f t="shared" si="67"/>
        <v>48899207.552320883</v>
      </c>
      <c r="H155" s="72">
        <f t="shared" si="67"/>
        <v>1599942.2568969838</v>
      </c>
      <c r="I155" s="72">
        <f t="shared" si="67"/>
        <v>50499149.809217863</v>
      </c>
      <c r="J155" s="72">
        <f>J153+J129</f>
        <v>51282389.743913613</v>
      </c>
      <c r="K155" s="72">
        <f t="shared" si="67"/>
        <v>53378076.618177995</v>
      </c>
      <c r="L155" s="188">
        <f t="shared" si="67"/>
        <v>48982054.389377818</v>
      </c>
      <c r="M155" s="180"/>
      <c r="N155" s="193"/>
      <c r="O155" s="193"/>
    </row>
    <row r="156" spans="1:15" ht="14" thickTop="1" thickBot="1" x14ac:dyDescent="0.35">
      <c r="A156" s="85"/>
      <c r="B156" s="85"/>
      <c r="C156" s="86"/>
      <c r="D156" s="86"/>
      <c r="E156" s="53">
        <f t="shared" si="58"/>
        <v>0</v>
      </c>
      <c r="F156" s="79"/>
      <c r="G156" s="79"/>
      <c r="H156" s="79"/>
      <c r="I156" s="79"/>
      <c r="J156" s="79"/>
      <c r="K156" s="86"/>
      <c r="L156" s="189"/>
    </row>
    <row r="157" spans="1:15" ht="14" thickTop="1" thickBot="1" x14ac:dyDescent="0.35">
      <c r="A157" s="102" t="s">
        <v>692</v>
      </c>
      <c r="B157" s="65"/>
      <c r="C157" s="87">
        <f>C153+C129+C54</f>
        <v>-144077727.60767913</v>
      </c>
      <c r="D157" s="87">
        <f t="shared" ref="D157:L157" si="68">D153+D129+D54</f>
        <v>0</v>
      </c>
      <c r="E157" s="82">
        <f t="shared" si="68"/>
        <v>-144077727.60767913</v>
      </c>
      <c r="F157" s="82">
        <f t="shared" si="68"/>
        <v>0</v>
      </c>
      <c r="G157" s="82">
        <f t="shared" si="68"/>
        <v>-144077727.60767913</v>
      </c>
      <c r="H157" s="82">
        <f t="shared" si="68"/>
        <v>6020561.4968969841</v>
      </c>
      <c r="I157" s="82">
        <f t="shared" si="68"/>
        <v>-138057166.11078215</v>
      </c>
      <c r="J157" s="82">
        <f t="shared" si="68"/>
        <v>-145364428.00328636</v>
      </c>
      <c r="K157" s="82">
        <f t="shared" si="68"/>
        <v>-156542535.47440439</v>
      </c>
      <c r="L157" s="181">
        <f t="shared" si="68"/>
        <v>-158875164.63527822</v>
      </c>
      <c r="M157" s="180"/>
      <c r="N157" s="193"/>
      <c r="O157" s="193"/>
    </row>
    <row r="158" spans="1:15" ht="13.5" thickTop="1" x14ac:dyDescent="0.3"/>
    <row r="166" spans="3:10" x14ac:dyDescent="0.3">
      <c r="C166" s="88"/>
      <c r="D166" s="88"/>
      <c r="E166" s="88"/>
      <c r="F166" s="88"/>
      <c r="G166" s="88"/>
      <c r="H166" s="88"/>
      <c r="I166" s="88"/>
      <c r="J166" s="88"/>
    </row>
    <row r="169" spans="3:10" x14ac:dyDescent="0.3">
      <c r="C169" s="88"/>
      <c r="D169" s="88"/>
      <c r="E169" s="88"/>
      <c r="F169" s="88"/>
      <c r="G169" s="88"/>
      <c r="H169" s="88"/>
      <c r="I169" s="88"/>
      <c r="J169" s="88"/>
    </row>
  </sheetData>
  <sortState xmlns:xlrd2="http://schemas.microsoft.com/office/spreadsheetml/2017/richdata2" ref="A125:M141">
    <sortCondition ref="B125:B141"/>
  </sortState>
  <mergeCells count="1">
    <mergeCell ref="A2:L2"/>
  </mergeCells>
  <printOptions gridLines="1"/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Q450"/>
  <sheetViews>
    <sheetView tabSelected="1" view="pageBreakPreview" zoomScale="80" zoomScaleNormal="80" zoomScaleSheetLayoutView="80" workbookViewId="0">
      <pane xSplit="2" ySplit="3" topLeftCell="C4" activePane="bottomRight" state="frozen"/>
      <selection activeCell="E140" sqref="E140"/>
      <selection pane="topRight" activeCell="E140" sqref="E140"/>
      <selection pane="bottomLeft" activeCell="E140" sqref="E140"/>
      <selection pane="bottomRight" activeCell="E140" sqref="E140"/>
    </sheetView>
  </sheetViews>
  <sheetFormatPr defaultColWidth="9.1796875" defaultRowHeight="14" x14ac:dyDescent="0.3"/>
  <cols>
    <col min="1" max="1" width="39.54296875" style="48" customWidth="1"/>
    <col min="2" max="2" width="58.54296875" style="48" customWidth="1"/>
    <col min="3" max="4" width="17.26953125" style="49" hidden="1" customWidth="1"/>
    <col min="5" max="5" width="13.453125" style="49" bestFit="1" customWidth="1"/>
    <col min="6" max="6" width="17.26953125" style="49" hidden="1" customWidth="1"/>
    <col min="7" max="7" width="13.7265625" style="49" hidden="1" customWidth="1"/>
    <col min="8" max="8" width="11.54296875" style="49" hidden="1" customWidth="1"/>
    <col min="9" max="9" width="15.1796875" style="49" bestFit="1" customWidth="1"/>
    <col min="10" max="10" width="15.1796875" style="49" customWidth="1"/>
    <col min="11" max="12" width="14.26953125" style="49" customWidth="1"/>
    <col min="13" max="13" width="15.1796875" style="200" bestFit="1" customWidth="1"/>
    <col min="14" max="14" width="15.1796875" style="201" customWidth="1"/>
    <col min="15" max="15" width="12.54296875" style="201" bestFit="1" customWidth="1"/>
    <col min="16" max="16" width="11.7265625" style="201" bestFit="1" customWidth="1"/>
    <col min="17" max="17" width="10.54296875" style="49" bestFit="1" customWidth="1"/>
    <col min="18" max="16384" width="9.1796875" style="48"/>
  </cols>
  <sheetData>
    <row r="1" spans="1:15" ht="14.5" thickBot="1" x14ac:dyDescent="0.35">
      <c r="B1" s="232">
        <f>'2021 2022 DRAFT BUDGET SUMMARY'!J24</f>
        <v>-79111.445678055286</v>
      </c>
      <c r="C1" s="64">
        <f>'2021 2022 DRAFT BUDGET SUMMARY'!J24</f>
        <v>-79111.445678055286</v>
      </c>
      <c r="D1" s="64"/>
      <c r="E1" s="64"/>
      <c r="F1" s="64"/>
      <c r="G1" s="64"/>
      <c r="H1" s="64"/>
      <c r="I1" s="64"/>
      <c r="J1" s="64"/>
    </row>
    <row r="2" spans="1:15" ht="14.5" thickBot="1" x14ac:dyDescent="0.35">
      <c r="A2" s="235" t="s">
        <v>1349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7"/>
    </row>
    <row r="3" spans="1:15" ht="28.5" thickBot="1" x14ac:dyDescent="0.35">
      <c r="A3" s="75" t="s">
        <v>0</v>
      </c>
      <c r="B3" s="75" t="s">
        <v>1</v>
      </c>
      <c r="C3" s="167" t="s">
        <v>669</v>
      </c>
      <c r="D3" s="161" t="s">
        <v>1219</v>
      </c>
      <c r="E3" s="161" t="s">
        <v>1220</v>
      </c>
      <c r="F3" s="161" t="s">
        <v>1284</v>
      </c>
      <c r="G3" s="161" t="s">
        <v>1322</v>
      </c>
      <c r="H3" s="161" t="s">
        <v>1284</v>
      </c>
      <c r="I3" s="161" t="s">
        <v>1323</v>
      </c>
      <c r="J3" s="161" t="s">
        <v>1356</v>
      </c>
      <c r="K3" s="161" t="s">
        <v>670</v>
      </c>
      <c r="L3" s="175" t="s">
        <v>671</v>
      </c>
      <c r="M3" s="191"/>
      <c r="N3" s="192"/>
      <c r="O3" s="192"/>
    </row>
    <row r="4" spans="1:15" x14ac:dyDescent="0.3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89"/>
    </row>
    <row r="5" spans="1:15" x14ac:dyDescent="0.3">
      <c r="A5" s="238" t="s">
        <v>869</v>
      </c>
      <c r="B5" s="240"/>
      <c r="C5" s="90"/>
      <c r="D5" s="90"/>
      <c r="E5" s="50"/>
      <c r="F5" s="50"/>
      <c r="G5" s="50"/>
      <c r="H5" s="50"/>
      <c r="I5" s="50"/>
      <c r="J5" s="50"/>
      <c r="K5" s="50"/>
      <c r="L5" s="89"/>
    </row>
    <row r="6" spans="1:15" x14ac:dyDescent="0.3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89"/>
    </row>
    <row r="7" spans="1:15" x14ac:dyDescent="0.3">
      <c r="A7" s="50" t="s">
        <v>73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89"/>
    </row>
    <row r="8" spans="1:15" x14ac:dyDescent="0.3">
      <c r="A8" s="51" t="s">
        <v>72</v>
      </c>
      <c r="B8" s="50"/>
      <c r="C8" s="50"/>
      <c r="D8" s="50"/>
      <c r="E8" s="50"/>
      <c r="F8" s="50"/>
      <c r="G8" s="50"/>
      <c r="H8" s="50"/>
      <c r="I8" s="50"/>
      <c r="J8" s="50"/>
      <c r="K8" s="50"/>
      <c r="L8" s="89"/>
    </row>
    <row r="9" spans="1:15" ht="14.5" thickBot="1" x14ac:dyDescent="0.35">
      <c r="A9" s="69" t="s">
        <v>1228</v>
      </c>
      <c r="B9" s="152" t="s">
        <v>1230</v>
      </c>
      <c r="C9" s="152"/>
      <c r="D9" s="152"/>
      <c r="E9" s="152"/>
      <c r="F9" s="152"/>
      <c r="G9" s="53">
        <f>E9+F9</f>
        <v>0</v>
      </c>
      <c r="H9" s="69"/>
      <c r="I9" s="69">
        <f>G9+H9</f>
        <v>0</v>
      </c>
      <c r="J9" s="69"/>
      <c r="K9" s="152"/>
      <c r="L9" s="195"/>
      <c r="O9" s="190"/>
    </row>
    <row r="10" spans="1:15" ht="14.5" thickBot="1" x14ac:dyDescent="0.35">
      <c r="A10" s="100" t="s">
        <v>200</v>
      </c>
      <c r="B10" s="151"/>
      <c r="C10" s="151">
        <f>SUM(C9)</f>
        <v>0</v>
      </c>
      <c r="D10" s="151">
        <f t="shared" ref="D10" si="0">SUM(D9)</f>
        <v>0</v>
      </c>
      <c r="E10" s="151">
        <f>SUM(E9)</f>
        <v>0</v>
      </c>
      <c r="F10" s="151">
        <f t="shared" ref="F10:L10" si="1">SUM(F9)</f>
        <v>0</v>
      </c>
      <c r="G10" s="151">
        <f t="shared" si="1"/>
        <v>0</v>
      </c>
      <c r="H10" s="151">
        <f t="shared" si="1"/>
        <v>0</v>
      </c>
      <c r="I10" s="151">
        <f t="shared" si="1"/>
        <v>0</v>
      </c>
      <c r="J10" s="151">
        <f t="shared" si="1"/>
        <v>0</v>
      </c>
      <c r="K10" s="151">
        <f t="shared" si="1"/>
        <v>0</v>
      </c>
      <c r="L10" s="151">
        <f t="shared" si="1"/>
        <v>0</v>
      </c>
      <c r="M10" s="202"/>
      <c r="N10" s="203"/>
      <c r="O10" s="203"/>
    </row>
    <row r="11" spans="1:15" x14ac:dyDescent="0.3">
      <c r="A11" s="150"/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96"/>
    </row>
    <row r="12" spans="1:15" x14ac:dyDescent="0.3">
      <c r="A12" s="51" t="s">
        <v>458</v>
      </c>
      <c r="B12" s="52"/>
      <c r="C12" s="53"/>
      <c r="D12" s="53"/>
      <c r="E12" s="53"/>
      <c r="F12" s="53"/>
      <c r="G12" s="53"/>
      <c r="H12" s="53"/>
      <c r="I12" s="53"/>
      <c r="J12" s="53"/>
      <c r="K12" s="53"/>
      <c r="L12" s="176"/>
    </row>
    <row r="13" spans="1:15" x14ac:dyDescent="0.3">
      <c r="A13" s="52"/>
      <c r="B13" s="51" t="s">
        <v>501</v>
      </c>
      <c r="C13" s="54"/>
      <c r="D13" s="54"/>
      <c r="E13" s="54"/>
      <c r="F13" s="54"/>
      <c r="G13" s="54"/>
      <c r="H13" s="54"/>
      <c r="I13" s="54"/>
      <c r="J13" s="54"/>
      <c r="K13" s="53"/>
      <c r="L13" s="176"/>
    </row>
    <row r="14" spans="1:15" x14ac:dyDescent="0.3">
      <c r="A14" s="52" t="s">
        <v>870</v>
      </c>
      <c r="B14" s="52" t="s">
        <v>83</v>
      </c>
      <c r="C14" s="54">
        <v>765000</v>
      </c>
      <c r="D14" s="54"/>
      <c r="E14" s="54">
        <f>C14+D14</f>
        <v>765000</v>
      </c>
      <c r="F14" s="54"/>
      <c r="G14" s="53">
        <f t="shared" ref="G14:G27" si="2">E14+F14</f>
        <v>765000</v>
      </c>
      <c r="H14" s="53">
        <f>-49490-190000-202607</f>
        <v>-442097</v>
      </c>
      <c r="I14" s="69">
        <f t="shared" ref="I14:I27" si="3">G14+H14</f>
        <v>322903</v>
      </c>
      <c r="J14" s="69">
        <v>500000</v>
      </c>
      <c r="K14" s="53">
        <f t="shared" ref="K14:K29" si="4">J14*104.2%</f>
        <v>521000</v>
      </c>
      <c r="L14" s="176">
        <f t="shared" ref="L14:L29" si="5">K14*104.4%</f>
        <v>543924</v>
      </c>
      <c r="O14" s="190"/>
    </row>
    <row r="15" spans="1:15" x14ac:dyDescent="0.3">
      <c r="A15" s="52" t="s">
        <v>871</v>
      </c>
      <c r="B15" s="52" t="s">
        <v>1276</v>
      </c>
      <c r="C15" s="54">
        <v>80000</v>
      </c>
      <c r="D15" s="54"/>
      <c r="E15" s="54">
        <f t="shared" ref="E15:E84" si="6">C15+D15</f>
        <v>80000</v>
      </c>
      <c r="F15" s="54"/>
      <c r="G15" s="53">
        <f t="shared" si="2"/>
        <v>80000</v>
      </c>
      <c r="H15" s="53">
        <f>33000+120000-120000</f>
        <v>33000</v>
      </c>
      <c r="I15" s="69">
        <f t="shared" si="3"/>
        <v>113000</v>
      </c>
      <c r="J15" s="69">
        <v>80000</v>
      </c>
      <c r="K15" s="53">
        <f t="shared" si="4"/>
        <v>83360</v>
      </c>
      <c r="L15" s="176">
        <f t="shared" si="5"/>
        <v>87027.839999999997</v>
      </c>
      <c r="O15" s="190"/>
    </row>
    <row r="16" spans="1:15" x14ac:dyDescent="0.3">
      <c r="A16" s="52" t="s">
        <v>872</v>
      </c>
      <c r="B16" s="52" t="s">
        <v>82</v>
      </c>
      <c r="C16" s="54">
        <v>340000</v>
      </c>
      <c r="D16" s="54"/>
      <c r="E16" s="54">
        <f t="shared" si="6"/>
        <v>340000</v>
      </c>
      <c r="F16" s="54"/>
      <c r="G16" s="53">
        <f t="shared" si="2"/>
        <v>340000</v>
      </c>
      <c r="H16" s="53">
        <f>152000-100000-122099.2</f>
        <v>-70099.199999999997</v>
      </c>
      <c r="I16" s="69">
        <f t="shared" si="3"/>
        <v>269900.79999999999</v>
      </c>
      <c r="J16" s="69">
        <v>200000</v>
      </c>
      <c r="K16" s="53">
        <f t="shared" si="4"/>
        <v>208400</v>
      </c>
      <c r="L16" s="176">
        <f t="shared" si="5"/>
        <v>217569.6</v>
      </c>
      <c r="O16" s="190"/>
    </row>
    <row r="17" spans="1:15" x14ac:dyDescent="0.3">
      <c r="A17" s="52" t="s">
        <v>873</v>
      </c>
      <c r="B17" s="52" t="s">
        <v>111</v>
      </c>
      <c r="C17" s="54">
        <v>1300000</v>
      </c>
      <c r="D17" s="54"/>
      <c r="E17" s="54">
        <f t="shared" si="6"/>
        <v>1300000</v>
      </c>
      <c r="F17" s="54"/>
      <c r="G17" s="53">
        <f t="shared" si="2"/>
        <v>1300000</v>
      </c>
      <c r="H17" s="53">
        <f>-275500-100000-400000-200000</f>
        <v>-975500</v>
      </c>
      <c r="I17" s="69">
        <f t="shared" si="3"/>
        <v>324500</v>
      </c>
      <c r="J17" s="69">
        <v>700000</v>
      </c>
      <c r="K17" s="53">
        <f t="shared" si="4"/>
        <v>729400</v>
      </c>
      <c r="L17" s="176">
        <f t="shared" si="5"/>
        <v>761493.6</v>
      </c>
      <c r="O17" s="190"/>
    </row>
    <row r="18" spans="1:15" x14ac:dyDescent="0.3">
      <c r="A18" s="52" t="s">
        <v>874</v>
      </c>
      <c r="B18" s="52" t="s">
        <v>84</v>
      </c>
      <c r="C18" s="54">
        <v>670000</v>
      </c>
      <c r="D18" s="54"/>
      <c r="E18" s="54">
        <f t="shared" si="6"/>
        <v>670000</v>
      </c>
      <c r="F18" s="54"/>
      <c r="G18" s="53">
        <f t="shared" si="2"/>
        <v>670000</v>
      </c>
      <c r="H18" s="53">
        <f>-250000-150000</f>
        <v>-400000</v>
      </c>
      <c r="I18" s="69">
        <f t="shared" si="3"/>
        <v>270000</v>
      </c>
      <c r="J18" s="69">
        <v>400000</v>
      </c>
      <c r="K18" s="53">
        <f t="shared" si="4"/>
        <v>416800</v>
      </c>
      <c r="L18" s="176">
        <f t="shared" si="5"/>
        <v>435139.2</v>
      </c>
      <c r="O18" s="190"/>
    </row>
    <row r="19" spans="1:15" x14ac:dyDescent="0.3">
      <c r="A19" s="52"/>
      <c r="B19" s="52"/>
      <c r="C19" s="54"/>
      <c r="D19" s="54"/>
      <c r="E19" s="54"/>
      <c r="F19" s="54"/>
      <c r="G19" s="53">
        <f t="shared" si="2"/>
        <v>0</v>
      </c>
      <c r="H19" s="53"/>
      <c r="I19" s="69">
        <f t="shared" si="3"/>
        <v>0</v>
      </c>
      <c r="J19" s="69"/>
      <c r="K19" s="53">
        <f t="shared" si="4"/>
        <v>0</v>
      </c>
      <c r="L19" s="176">
        <f t="shared" si="5"/>
        <v>0</v>
      </c>
      <c r="O19" s="190"/>
    </row>
    <row r="20" spans="1:15" x14ac:dyDescent="0.3">
      <c r="A20" s="52" t="s">
        <v>1229</v>
      </c>
      <c r="B20" s="52" t="s">
        <v>1230</v>
      </c>
      <c r="C20" s="54"/>
      <c r="D20" s="54"/>
      <c r="E20" s="54"/>
      <c r="F20" s="54"/>
      <c r="G20" s="53">
        <f t="shared" si="2"/>
        <v>0</v>
      </c>
      <c r="H20" s="53"/>
      <c r="I20" s="69">
        <f t="shared" si="3"/>
        <v>0</v>
      </c>
      <c r="J20" s="69"/>
      <c r="K20" s="53">
        <f t="shared" si="4"/>
        <v>0</v>
      </c>
      <c r="L20" s="176">
        <f t="shared" si="5"/>
        <v>0</v>
      </c>
      <c r="O20" s="190"/>
    </row>
    <row r="21" spans="1:15" x14ac:dyDescent="0.3">
      <c r="A21" s="52"/>
      <c r="B21" s="52"/>
      <c r="C21" s="54"/>
      <c r="D21" s="54"/>
      <c r="E21" s="54"/>
      <c r="F21" s="54"/>
      <c r="G21" s="53"/>
      <c r="H21" s="53"/>
      <c r="I21" s="69"/>
      <c r="J21" s="69"/>
      <c r="K21" s="53">
        <f t="shared" si="4"/>
        <v>0</v>
      </c>
      <c r="L21" s="176">
        <f t="shared" si="5"/>
        <v>0</v>
      </c>
      <c r="O21" s="190"/>
    </row>
    <row r="22" spans="1:15" x14ac:dyDescent="0.3">
      <c r="A22" s="52"/>
      <c r="B22" s="52"/>
      <c r="C22" s="54">
        <v>0</v>
      </c>
      <c r="D22" s="54"/>
      <c r="E22" s="54">
        <f t="shared" si="6"/>
        <v>0</v>
      </c>
      <c r="F22" s="54"/>
      <c r="G22" s="53">
        <f t="shared" si="2"/>
        <v>0</v>
      </c>
      <c r="H22" s="53"/>
      <c r="I22" s="69">
        <f t="shared" si="3"/>
        <v>0</v>
      </c>
      <c r="J22" s="69"/>
      <c r="K22" s="53">
        <f t="shared" si="4"/>
        <v>0</v>
      </c>
      <c r="L22" s="176">
        <f t="shared" si="5"/>
        <v>0</v>
      </c>
      <c r="O22" s="190"/>
    </row>
    <row r="23" spans="1:15" x14ac:dyDescent="0.3">
      <c r="A23" s="52"/>
      <c r="B23" s="51" t="s">
        <v>461</v>
      </c>
      <c r="C23" s="54">
        <v>0</v>
      </c>
      <c r="D23" s="54"/>
      <c r="E23" s="54">
        <f t="shared" si="6"/>
        <v>0</v>
      </c>
      <c r="F23" s="54"/>
      <c r="G23" s="53">
        <f t="shared" si="2"/>
        <v>0</v>
      </c>
      <c r="H23" s="53"/>
      <c r="I23" s="69">
        <f t="shared" si="3"/>
        <v>0</v>
      </c>
      <c r="J23" s="69"/>
      <c r="K23" s="53">
        <f t="shared" si="4"/>
        <v>0</v>
      </c>
      <c r="L23" s="176">
        <f t="shared" si="5"/>
        <v>0</v>
      </c>
      <c r="O23" s="190"/>
    </row>
    <row r="24" spans="1:15" x14ac:dyDescent="0.3">
      <c r="A24" s="52" t="s">
        <v>876</v>
      </c>
      <c r="B24" s="52" t="s">
        <v>1338</v>
      </c>
      <c r="C24" s="54">
        <v>1200000</v>
      </c>
      <c r="D24" s="54"/>
      <c r="E24" s="54">
        <f t="shared" si="6"/>
        <v>1200000</v>
      </c>
      <c r="F24" s="54"/>
      <c r="G24" s="53">
        <f t="shared" si="2"/>
        <v>1200000</v>
      </c>
      <c r="H24" s="53">
        <v>-500000</v>
      </c>
      <c r="I24" s="69">
        <f t="shared" si="3"/>
        <v>700000</v>
      </c>
      <c r="J24" s="69">
        <v>1200000</v>
      </c>
      <c r="K24" s="53">
        <f t="shared" si="4"/>
        <v>1250400</v>
      </c>
      <c r="L24" s="176">
        <f t="shared" si="5"/>
        <v>1305417.6000000001</v>
      </c>
      <c r="O24" s="190"/>
    </row>
    <row r="25" spans="1:15" x14ac:dyDescent="0.3">
      <c r="A25" s="52" t="s">
        <v>1468</v>
      </c>
      <c r="B25" s="52" t="s">
        <v>1427</v>
      </c>
      <c r="C25" s="54"/>
      <c r="D25" s="54"/>
      <c r="E25" s="54"/>
      <c r="F25" s="54"/>
      <c r="G25" s="53"/>
      <c r="H25" s="53"/>
      <c r="I25" s="69"/>
      <c r="J25" s="69">
        <v>150000</v>
      </c>
      <c r="K25" s="53">
        <f t="shared" si="4"/>
        <v>156300</v>
      </c>
      <c r="L25" s="176">
        <f t="shared" si="5"/>
        <v>163177.20000000001</v>
      </c>
      <c r="O25" s="190"/>
    </row>
    <row r="26" spans="1:15" x14ac:dyDescent="0.3">
      <c r="A26" s="52" t="s">
        <v>875</v>
      </c>
      <c r="B26" s="52" t="s">
        <v>462</v>
      </c>
      <c r="C26" s="54">
        <v>150000</v>
      </c>
      <c r="D26" s="54"/>
      <c r="E26" s="54">
        <f t="shared" si="6"/>
        <v>150000</v>
      </c>
      <c r="F26" s="54"/>
      <c r="G26" s="53">
        <f t="shared" si="2"/>
        <v>150000</v>
      </c>
      <c r="H26" s="53"/>
      <c r="I26" s="69">
        <f t="shared" si="3"/>
        <v>150000</v>
      </c>
      <c r="J26" s="69">
        <v>100000</v>
      </c>
      <c r="K26" s="53">
        <f t="shared" si="4"/>
        <v>104200</v>
      </c>
      <c r="L26" s="176">
        <f t="shared" si="5"/>
        <v>108784.8</v>
      </c>
      <c r="O26" s="190"/>
    </row>
    <row r="27" spans="1:15" x14ac:dyDescent="0.3">
      <c r="A27" s="56" t="s">
        <v>877</v>
      </c>
      <c r="B27" s="56" t="s">
        <v>463</v>
      </c>
      <c r="C27" s="68">
        <v>100000</v>
      </c>
      <c r="D27" s="68"/>
      <c r="E27" s="68">
        <f t="shared" si="6"/>
        <v>100000</v>
      </c>
      <c r="F27" s="68"/>
      <c r="G27" s="69">
        <f t="shared" si="2"/>
        <v>100000</v>
      </c>
      <c r="H27" s="69"/>
      <c r="I27" s="69">
        <f t="shared" si="3"/>
        <v>100000</v>
      </c>
      <c r="J27" s="69">
        <v>100000</v>
      </c>
      <c r="K27" s="53">
        <f t="shared" si="4"/>
        <v>104200</v>
      </c>
      <c r="L27" s="176">
        <f t="shared" si="5"/>
        <v>108784.8</v>
      </c>
      <c r="O27" s="190"/>
    </row>
    <row r="28" spans="1:15" x14ac:dyDescent="0.3">
      <c r="A28" s="52" t="s">
        <v>1469</v>
      </c>
      <c r="B28" s="52" t="s">
        <v>1372</v>
      </c>
      <c r="C28" s="115"/>
      <c r="D28" s="115"/>
      <c r="E28" s="115"/>
      <c r="F28" s="115"/>
      <c r="G28" s="53"/>
      <c r="H28" s="53"/>
      <c r="I28" s="53"/>
      <c r="J28" s="53">
        <v>200000</v>
      </c>
      <c r="K28" s="53">
        <f t="shared" si="4"/>
        <v>208400</v>
      </c>
      <c r="L28" s="176">
        <f t="shared" si="5"/>
        <v>217569.6</v>
      </c>
      <c r="O28" s="190"/>
    </row>
    <row r="29" spans="1:15" ht="14.5" thickBot="1" x14ac:dyDescent="0.35">
      <c r="A29" s="84" t="s">
        <v>1470</v>
      </c>
      <c r="B29" s="84" t="s">
        <v>1373</v>
      </c>
      <c r="C29" s="113"/>
      <c r="D29" s="113"/>
      <c r="E29" s="113"/>
      <c r="F29" s="113"/>
      <c r="G29" s="114"/>
      <c r="H29" s="114"/>
      <c r="I29" s="114"/>
      <c r="J29" s="114">
        <v>200000</v>
      </c>
      <c r="K29" s="53">
        <f t="shared" si="4"/>
        <v>208400</v>
      </c>
      <c r="L29" s="176">
        <f t="shared" si="5"/>
        <v>217569.6</v>
      </c>
      <c r="O29" s="190"/>
    </row>
    <row r="30" spans="1:15" ht="14.5" thickBot="1" x14ac:dyDescent="0.35">
      <c r="A30" s="57" t="s">
        <v>674</v>
      </c>
      <c r="B30" s="57"/>
      <c r="C30" s="92">
        <f t="shared" ref="C30:I30" si="7">SUM(C14:C27)</f>
        <v>4605000</v>
      </c>
      <c r="D30" s="92">
        <f t="shared" si="7"/>
        <v>0</v>
      </c>
      <c r="E30" s="92">
        <f t="shared" si="7"/>
        <v>4605000</v>
      </c>
      <c r="F30" s="92">
        <f t="shared" si="7"/>
        <v>0</v>
      </c>
      <c r="G30" s="92">
        <f t="shared" si="7"/>
        <v>4605000</v>
      </c>
      <c r="H30" s="92">
        <f t="shared" si="7"/>
        <v>-2354696.2000000002</v>
      </c>
      <c r="I30" s="92">
        <f t="shared" si="7"/>
        <v>2250303.7999999998</v>
      </c>
      <c r="J30" s="92">
        <f>SUM(J14:J29)</f>
        <v>3830000</v>
      </c>
      <c r="K30" s="92">
        <f t="shared" ref="K30:L30" si="8">SUM(K14:K29)</f>
        <v>3990860</v>
      </c>
      <c r="L30" s="92">
        <f t="shared" si="8"/>
        <v>4166457.84</v>
      </c>
      <c r="M30" s="191"/>
      <c r="N30" s="192"/>
      <c r="O30" s="192"/>
    </row>
    <row r="31" spans="1:15" ht="14.5" thickTop="1" x14ac:dyDescent="0.3">
      <c r="A31" s="60"/>
      <c r="B31" s="61"/>
      <c r="C31" s="54"/>
      <c r="D31" s="54"/>
      <c r="E31" s="54">
        <f t="shared" si="6"/>
        <v>0</v>
      </c>
      <c r="F31" s="54"/>
      <c r="G31" s="54"/>
      <c r="H31" s="54"/>
      <c r="I31" s="54"/>
      <c r="J31" s="54"/>
      <c r="K31" s="62"/>
      <c r="L31" s="184"/>
    </row>
    <row r="32" spans="1:15" x14ac:dyDescent="0.3">
      <c r="A32" s="51" t="s">
        <v>77</v>
      </c>
      <c r="B32" s="52"/>
      <c r="C32" s="54">
        <v>0</v>
      </c>
      <c r="D32" s="54"/>
      <c r="E32" s="54">
        <f t="shared" si="6"/>
        <v>0</v>
      </c>
      <c r="F32" s="54"/>
      <c r="G32" s="54"/>
      <c r="H32" s="54"/>
      <c r="I32" s="69">
        <f t="shared" ref="I32:I43" si="9">G32+H32</f>
        <v>0</v>
      </c>
      <c r="J32" s="69"/>
      <c r="K32" s="53"/>
      <c r="L32" s="176"/>
    </row>
    <row r="33" spans="1:15" x14ac:dyDescent="0.3">
      <c r="A33" s="52"/>
      <c r="B33" s="52" t="s">
        <v>55</v>
      </c>
      <c r="C33" s="54">
        <v>0</v>
      </c>
      <c r="D33" s="54"/>
      <c r="E33" s="54">
        <f t="shared" si="6"/>
        <v>0</v>
      </c>
      <c r="F33" s="54"/>
      <c r="G33" s="53">
        <f t="shared" ref="G33:G43" si="10">E33+F33</f>
        <v>0</v>
      </c>
      <c r="H33" s="53"/>
      <c r="I33" s="69">
        <f t="shared" si="9"/>
        <v>0</v>
      </c>
      <c r="J33" s="69"/>
      <c r="K33" s="53"/>
      <c r="L33" s="176"/>
      <c r="O33" s="190"/>
    </row>
    <row r="34" spans="1:15" x14ac:dyDescent="0.3">
      <c r="A34" s="52"/>
      <c r="B34" s="52" t="s">
        <v>56</v>
      </c>
      <c r="C34" s="54">
        <v>0</v>
      </c>
      <c r="D34" s="54"/>
      <c r="E34" s="54">
        <f t="shared" si="6"/>
        <v>0</v>
      </c>
      <c r="F34" s="54"/>
      <c r="G34" s="53">
        <f t="shared" si="10"/>
        <v>0</v>
      </c>
      <c r="H34" s="53"/>
      <c r="I34" s="69">
        <f t="shared" si="9"/>
        <v>0</v>
      </c>
      <c r="J34" s="69"/>
      <c r="K34" s="53"/>
      <c r="L34" s="176"/>
      <c r="O34" s="190"/>
    </row>
    <row r="35" spans="1:15" x14ac:dyDescent="0.3">
      <c r="A35" s="52"/>
      <c r="B35" s="52" t="s">
        <v>57</v>
      </c>
      <c r="C35" s="54">
        <v>0</v>
      </c>
      <c r="D35" s="54"/>
      <c r="E35" s="54">
        <f t="shared" si="6"/>
        <v>0</v>
      </c>
      <c r="F35" s="54"/>
      <c r="G35" s="53">
        <f t="shared" si="10"/>
        <v>0</v>
      </c>
      <c r="H35" s="53"/>
      <c r="I35" s="69">
        <f t="shared" si="9"/>
        <v>0</v>
      </c>
      <c r="J35" s="69"/>
      <c r="K35" s="53"/>
      <c r="L35" s="176"/>
      <c r="O35" s="190"/>
    </row>
    <row r="36" spans="1:15" x14ac:dyDescent="0.3">
      <c r="A36" s="52"/>
      <c r="B36" s="52" t="s">
        <v>58</v>
      </c>
      <c r="C36" s="54">
        <v>0</v>
      </c>
      <c r="D36" s="54"/>
      <c r="E36" s="54">
        <f t="shared" si="6"/>
        <v>0</v>
      </c>
      <c r="F36" s="54"/>
      <c r="G36" s="53">
        <f t="shared" si="10"/>
        <v>0</v>
      </c>
      <c r="H36" s="53"/>
      <c r="I36" s="69">
        <f t="shared" si="9"/>
        <v>0</v>
      </c>
      <c r="J36" s="69"/>
      <c r="K36" s="53"/>
      <c r="L36" s="176"/>
      <c r="O36" s="190"/>
    </row>
    <row r="37" spans="1:15" x14ac:dyDescent="0.3">
      <c r="A37" s="52"/>
      <c r="B37" s="52" t="s">
        <v>121</v>
      </c>
      <c r="C37" s="54">
        <v>0</v>
      </c>
      <c r="D37" s="54"/>
      <c r="E37" s="54">
        <f t="shared" si="6"/>
        <v>0</v>
      </c>
      <c r="F37" s="54"/>
      <c r="G37" s="53">
        <f t="shared" si="10"/>
        <v>0</v>
      </c>
      <c r="H37" s="53"/>
      <c r="I37" s="69">
        <f t="shared" si="9"/>
        <v>0</v>
      </c>
      <c r="J37" s="69"/>
      <c r="K37" s="53"/>
      <c r="L37" s="176"/>
      <c r="O37" s="190"/>
    </row>
    <row r="38" spans="1:15" x14ac:dyDescent="0.3">
      <c r="A38" s="52"/>
      <c r="B38" s="52" t="s">
        <v>59</v>
      </c>
      <c r="C38" s="54">
        <v>0</v>
      </c>
      <c r="D38" s="54"/>
      <c r="E38" s="54">
        <f t="shared" si="6"/>
        <v>0</v>
      </c>
      <c r="F38" s="54"/>
      <c r="G38" s="53">
        <f t="shared" si="10"/>
        <v>0</v>
      </c>
      <c r="H38" s="53"/>
      <c r="I38" s="69">
        <f t="shared" si="9"/>
        <v>0</v>
      </c>
      <c r="J38" s="69"/>
      <c r="K38" s="53"/>
      <c r="L38" s="176"/>
      <c r="O38" s="190"/>
    </row>
    <row r="39" spans="1:15" x14ac:dyDescent="0.3">
      <c r="A39" s="52"/>
      <c r="B39" s="52" t="s">
        <v>590</v>
      </c>
      <c r="C39" s="54">
        <v>0</v>
      </c>
      <c r="D39" s="54"/>
      <c r="E39" s="54">
        <f t="shared" si="6"/>
        <v>0</v>
      </c>
      <c r="F39" s="54"/>
      <c r="G39" s="53">
        <f t="shared" si="10"/>
        <v>0</v>
      </c>
      <c r="H39" s="53"/>
      <c r="I39" s="69">
        <f t="shared" si="9"/>
        <v>0</v>
      </c>
      <c r="J39" s="69"/>
      <c r="K39" s="53"/>
      <c r="L39" s="176"/>
      <c r="O39" s="190"/>
    </row>
    <row r="40" spans="1:15" x14ac:dyDescent="0.3">
      <c r="A40" s="52"/>
      <c r="B40" s="52" t="s">
        <v>124</v>
      </c>
      <c r="C40" s="54">
        <v>0</v>
      </c>
      <c r="D40" s="54"/>
      <c r="E40" s="54">
        <f t="shared" si="6"/>
        <v>0</v>
      </c>
      <c r="F40" s="54"/>
      <c r="G40" s="53">
        <f t="shared" si="10"/>
        <v>0</v>
      </c>
      <c r="H40" s="53"/>
      <c r="I40" s="69">
        <f t="shared" si="9"/>
        <v>0</v>
      </c>
      <c r="J40" s="69"/>
      <c r="K40" s="53"/>
      <c r="L40" s="176"/>
      <c r="O40" s="190"/>
    </row>
    <row r="41" spans="1:15" x14ac:dyDescent="0.3">
      <c r="A41" s="52"/>
      <c r="B41" s="52" t="s">
        <v>60</v>
      </c>
      <c r="C41" s="54">
        <v>0</v>
      </c>
      <c r="D41" s="54"/>
      <c r="E41" s="54">
        <f t="shared" si="6"/>
        <v>0</v>
      </c>
      <c r="F41" s="54"/>
      <c r="G41" s="53">
        <f t="shared" si="10"/>
        <v>0</v>
      </c>
      <c r="H41" s="53"/>
      <c r="I41" s="69">
        <f t="shared" si="9"/>
        <v>0</v>
      </c>
      <c r="J41" s="69"/>
      <c r="K41" s="53"/>
      <c r="L41" s="176"/>
      <c r="O41" s="190"/>
    </row>
    <row r="42" spans="1:15" x14ac:dyDescent="0.3">
      <c r="A42" s="52"/>
      <c r="B42" s="52" t="s">
        <v>61</v>
      </c>
      <c r="C42" s="54">
        <v>0</v>
      </c>
      <c r="D42" s="54"/>
      <c r="E42" s="54">
        <f t="shared" si="6"/>
        <v>0</v>
      </c>
      <c r="F42" s="54"/>
      <c r="G42" s="53">
        <f t="shared" si="10"/>
        <v>0</v>
      </c>
      <c r="H42" s="53"/>
      <c r="I42" s="69">
        <f t="shared" si="9"/>
        <v>0</v>
      </c>
      <c r="J42" s="69"/>
      <c r="K42" s="53"/>
      <c r="L42" s="176"/>
      <c r="O42" s="190"/>
    </row>
    <row r="43" spans="1:15" ht="14.5" thickBot="1" x14ac:dyDescent="0.35">
      <c r="A43" s="56"/>
      <c r="B43" s="56" t="s">
        <v>62</v>
      </c>
      <c r="C43" s="68">
        <v>0</v>
      </c>
      <c r="D43" s="68"/>
      <c r="E43" s="54">
        <f t="shared" si="6"/>
        <v>0</v>
      </c>
      <c r="F43" s="54"/>
      <c r="G43" s="53">
        <f t="shared" si="10"/>
        <v>0</v>
      </c>
      <c r="H43" s="53"/>
      <c r="I43" s="69">
        <f t="shared" si="9"/>
        <v>0</v>
      </c>
      <c r="J43" s="69"/>
      <c r="K43" s="53"/>
      <c r="L43" s="176"/>
      <c r="O43" s="190"/>
    </row>
    <row r="44" spans="1:15" ht="14.5" thickBot="1" x14ac:dyDescent="0.35">
      <c r="A44" s="57" t="s">
        <v>257</v>
      </c>
      <c r="B44" s="58"/>
      <c r="C44" s="58"/>
      <c r="D44" s="58"/>
      <c r="E44" s="164">
        <f>SUM(E33:E43)</f>
        <v>0</v>
      </c>
      <c r="F44" s="164">
        <f t="shared" ref="F44:L44" si="11">SUM(F33:F43)</f>
        <v>0</v>
      </c>
      <c r="G44" s="164">
        <f t="shared" si="11"/>
        <v>0</v>
      </c>
      <c r="H44" s="164">
        <f t="shared" si="11"/>
        <v>0</v>
      </c>
      <c r="I44" s="164">
        <f t="shared" si="11"/>
        <v>0</v>
      </c>
      <c r="J44" s="164">
        <f t="shared" si="11"/>
        <v>0</v>
      </c>
      <c r="K44" s="164">
        <f t="shared" si="11"/>
        <v>0</v>
      </c>
      <c r="L44" s="164">
        <f t="shared" si="11"/>
        <v>0</v>
      </c>
      <c r="M44" s="179"/>
      <c r="N44" s="190"/>
      <c r="O44" s="190"/>
    </row>
    <row r="45" spans="1:15" ht="15" thickTop="1" thickBot="1" x14ac:dyDescent="0.35">
      <c r="A45" s="74"/>
      <c r="B45" s="73"/>
      <c r="C45" s="68"/>
      <c r="D45" s="68"/>
      <c r="E45" s="54">
        <f t="shared" si="6"/>
        <v>0</v>
      </c>
      <c r="F45" s="68"/>
      <c r="G45" s="68"/>
      <c r="H45" s="68"/>
      <c r="I45" s="68"/>
      <c r="J45" s="68"/>
      <c r="K45" s="68"/>
      <c r="L45" s="197"/>
    </row>
    <row r="46" spans="1:15" ht="14.5" thickBot="1" x14ac:dyDescent="0.35">
      <c r="A46" s="70" t="s">
        <v>693</v>
      </c>
      <c r="B46" s="70"/>
      <c r="C46" s="71">
        <f>C44+C30</f>
        <v>4605000</v>
      </c>
      <c r="D46" s="71">
        <f t="shared" ref="D46:L46" si="12">D44+D30</f>
        <v>0</v>
      </c>
      <c r="E46" s="71">
        <f t="shared" si="12"/>
        <v>4605000</v>
      </c>
      <c r="F46" s="71">
        <f t="shared" si="12"/>
        <v>0</v>
      </c>
      <c r="G46" s="71">
        <f t="shared" si="12"/>
        <v>4605000</v>
      </c>
      <c r="H46" s="71">
        <f t="shared" si="12"/>
        <v>-2354696.2000000002</v>
      </c>
      <c r="I46" s="71">
        <f t="shared" si="12"/>
        <v>2250303.7999999998</v>
      </c>
      <c r="J46" s="71">
        <f t="shared" si="12"/>
        <v>3830000</v>
      </c>
      <c r="K46" s="71">
        <f t="shared" si="12"/>
        <v>3990860</v>
      </c>
      <c r="L46" s="71">
        <f t="shared" si="12"/>
        <v>4166457.84</v>
      </c>
      <c r="M46" s="191"/>
      <c r="N46" s="192"/>
      <c r="O46" s="192"/>
    </row>
    <row r="47" spans="1:15" ht="14.5" thickTop="1" x14ac:dyDescent="0.3">
      <c r="A47" s="104"/>
      <c r="B47" s="105"/>
      <c r="C47" s="54">
        <v>0</v>
      </c>
      <c r="D47" s="54"/>
      <c r="E47" s="54">
        <f t="shared" si="6"/>
        <v>0</v>
      </c>
      <c r="F47" s="54"/>
      <c r="G47" s="54"/>
      <c r="H47" s="54"/>
      <c r="I47" s="54"/>
      <c r="J47" s="54"/>
      <c r="K47" s="62"/>
      <c r="L47" s="184"/>
    </row>
    <row r="48" spans="1:15" x14ac:dyDescent="0.3">
      <c r="A48" s="238" t="s">
        <v>882</v>
      </c>
      <c r="B48" s="239"/>
      <c r="C48" s="54"/>
      <c r="D48" s="54"/>
      <c r="E48" s="54">
        <f t="shared" si="6"/>
        <v>0</v>
      </c>
      <c r="F48" s="54"/>
      <c r="G48" s="54"/>
      <c r="H48" s="54"/>
      <c r="I48" s="54"/>
      <c r="J48" s="54"/>
      <c r="K48" s="62"/>
      <c r="L48" s="184"/>
    </row>
    <row r="49" spans="1:15" x14ac:dyDescent="0.3">
      <c r="A49" s="52"/>
      <c r="B49" s="51"/>
      <c r="C49" s="54"/>
      <c r="D49" s="54"/>
      <c r="E49" s="54">
        <f t="shared" si="6"/>
        <v>0</v>
      </c>
      <c r="F49" s="54"/>
      <c r="G49" s="54"/>
      <c r="H49" s="54"/>
      <c r="I49" s="54"/>
      <c r="J49" s="54"/>
      <c r="K49" s="62"/>
      <c r="L49" s="184"/>
    </row>
    <row r="50" spans="1:15" x14ac:dyDescent="0.3">
      <c r="A50" s="51" t="s">
        <v>458</v>
      </c>
      <c r="B50" s="51"/>
      <c r="C50" s="54"/>
      <c r="D50" s="54"/>
      <c r="E50" s="54">
        <f t="shared" si="6"/>
        <v>0</v>
      </c>
      <c r="F50" s="54"/>
      <c r="G50" s="54"/>
      <c r="H50" s="54"/>
      <c r="I50" s="54"/>
      <c r="J50" s="54"/>
      <c r="K50" s="62"/>
      <c r="L50" s="184"/>
    </row>
    <row r="51" spans="1:15" x14ac:dyDescent="0.3">
      <c r="A51" s="55"/>
      <c r="B51" s="55" t="s">
        <v>733</v>
      </c>
      <c r="C51" s="54"/>
      <c r="D51" s="54"/>
      <c r="E51" s="54">
        <f t="shared" si="6"/>
        <v>0</v>
      </c>
      <c r="F51" s="54"/>
      <c r="G51" s="54"/>
      <c r="H51" s="54"/>
      <c r="I51" s="54"/>
      <c r="J51" s="54"/>
      <c r="K51" s="62"/>
      <c r="L51" s="184"/>
    </row>
    <row r="52" spans="1:15" x14ac:dyDescent="0.3">
      <c r="A52" s="56" t="s">
        <v>881</v>
      </c>
      <c r="B52" s="56" t="s">
        <v>878</v>
      </c>
      <c r="C52" s="54">
        <v>15000</v>
      </c>
      <c r="D52" s="54"/>
      <c r="E52" s="54">
        <f t="shared" si="6"/>
        <v>15000</v>
      </c>
      <c r="F52" s="54"/>
      <c r="G52" s="53">
        <f t="shared" ref="G52:G115" si="13">E52+F52</f>
        <v>15000</v>
      </c>
      <c r="H52" s="53">
        <v>-15000</v>
      </c>
      <c r="I52" s="69">
        <f t="shared" ref="I52:I83" si="14">G52+H52</f>
        <v>0</v>
      </c>
      <c r="J52" s="69">
        <v>15000</v>
      </c>
      <c r="K52" s="53">
        <f t="shared" ref="K52:K83" si="15">J52*104.2%</f>
        <v>15630</v>
      </c>
      <c r="L52" s="176">
        <f t="shared" ref="L52:L83" si="16">K52*104.4%</f>
        <v>16317.720000000001</v>
      </c>
      <c r="O52" s="190"/>
    </row>
    <row r="53" spans="1:15" x14ac:dyDescent="0.3">
      <c r="A53" s="56" t="s">
        <v>883</v>
      </c>
      <c r="B53" s="56" t="s">
        <v>879</v>
      </c>
      <c r="C53" s="54">
        <v>30000</v>
      </c>
      <c r="D53" s="54"/>
      <c r="E53" s="54">
        <f t="shared" si="6"/>
        <v>30000</v>
      </c>
      <c r="F53" s="54"/>
      <c r="G53" s="53">
        <f t="shared" si="13"/>
        <v>30000</v>
      </c>
      <c r="H53" s="53">
        <v>-30000</v>
      </c>
      <c r="I53" s="69">
        <f t="shared" si="14"/>
        <v>0</v>
      </c>
      <c r="J53" s="69">
        <v>30000</v>
      </c>
      <c r="K53" s="53">
        <f t="shared" si="15"/>
        <v>31260</v>
      </c>
      <c r="L53" s="176">
        <f t="shared" si="16"/>
        <v>32635.440000000002</v>
      </c>
      <c r="O53" s="190"/>
    </row>
    <row r="54" spans="1:15" x14ac:dyDescent="0.3">
      <c r="A54" s="56" t="s">
        <v>884</v>
      </c>
      <c r="B54" s="56" t="s">
        <v>880</v>
      </c>
      <c r="C54" s="54">
        <v>20000</v>
      </c>
      <c r="D54" s="54"/>
      <c r="E54" s="54">
        <f t="shared" si="6"/>
        <v>20000</v>
      </c>
      <c r="F54" s="54"/>
      <c r="G54" s="53">
        <f t="shared" si="13"/>
        <v>20000</v>
      </c>
      <c r="H54" s="53">
        <v>-20000</v>
      </c>
      <c r="I54" s="69">
        <f t="shared" si="14"/>
        <v>0</v>
      </c>
      <c r="J54" s="69">
        <v>20000</v>
      </c>
      <c r="K54" s="53">
        <f t="shared" si="15"/>
        <v>20840</v>
      </c>
      <c r="L54" s="176">
        <f t="shared" si="16"/>
        <v>21756.959999999999</v>
      </c>
      <c r="O54" s="190"/>
    </row>
    <row r="55" spans="1:15" x14ac:dyDescent="0.3">
      <c r="A55" s="56"/>
      <c r="B55" s="56"/>
      <c r="C55" s="54"/>
      <c r="D55" s="54"/>
      <c r="E55" s="54">
        <f t="shared" si="6"/>
        <v>0</v>
      </c>
      <c r="F55" s="54"/>
      <c r="G55" s="53">
        <f t="shared" si="13"/>
        <v>0</v>
      </c>
      <c r="H55" s="53">
        <v>0</v>
      </c>
      <c r="I55" s="69">
        <f t="shared" si="14"/>
        <v>0</v>
      </c>
      <c r="J55" s="69"/>
      <c r="K55" s="53">
        <f t="shared" si="15"/>
        <v>0</v>
      </c>
      <c r="L55" s="176">
        <f t="shared" si="16"/>
        <v>0</v>
      </c>
      <c r="O55" s="190"/>
    </row>
    <row r="56" spans="1:15" x14ac:dyDescent="0.3">
      <c r="A56" s="56"/>
      <c r="B56" s="55" t="s">
        <v>734</v>
      </c>
      <c r="C56" s="54"/>
      <c r="D56" s="54"/>
      <c r="E56" s="54">
        <f t="shared" si="6"/>
        <v>0</v>
      </c>
      <c r="F56" s="54"/>
      <c r="G56" s="53">
        <f t="shared" si="13"/>
        <v>0</v>
      </c>
      <c r="H56" s="53">
        <v>0</v>
      </c>
      <c r="I56" s="69">
        <f t="shared" si="14"/>
        <v>0</v>
      </c>
      <c r="J56" s="69"/>
      <c r="K56" s="53">
        <f t="shared" si="15"/>
        <v>0</v>
      </c>
      <c r="L56" s="176">
        <f t="shared" si="16"/>
        <v>0</v>
      </c>
      <c r="O56" s="190"/>
    </row>
    <row r="57" spans="1:15" x14ac:dyDescent="0.3">
      <c r="A57" s="56" t="s">
        <v>890</v>
      </c>
      <c r="B57" s="56" t="s">
        <v>885</v>
      </c>
      <c r="C57" s="54">
        <v>25000</v>
      </c>
      <c r="D57" s="54"/>
      <c r="E57" s="54">
        <f t="shared" si="6"/>
        <v>25000</v>
      </c>
      <c r="F57" s="54"/>
      <c r="G57" s="53">
        <f t="shared" si="13"/>
        <v>25000</v>
      </c>
      <c r="H57" s="53">
        <v>2000</v>
      </c>
      <c r="I57" s="69">
        <f t="shared" si="14"/>
        <v>27000</v>
      </c>
      <c r="J57" s="69">
        <v>25000</v>
      </c>
      <c r="K57" s="53">
        <f t="shared" si="15"/>
        <v>26050</v>
      </c>
      <c r="L57" s="176">
        <f t="shared" si="16"/>
        <v>27196.2</v>
      </c>
      <c r="O57" s="190"/>
    </row>
    <row r="58" spans="1:15" x14ac:dyDescent="0.3">
      <c r="A58" s="56" t="s">
        <v>1346</v>
      </c>
      <c r="B58" s="56" t="s">
        <v>886</v>
      </c>
      <c r="C58" s="54">
        <v>20000</v>
      </c>
      <c r="D58" s="54"/>
      <c r="E58" s="54">
        <f t="shared" si="6"/>
        <v>20000</v>
      </c>
      <c r="F58" s="54"/>
      <c r="G58" s="53">
        <f t="shared" si="13"/>
        <v>20000</v>
      </c>
      <c r="H58" s="53">
        <v>-15200</v>
      </c>
      <c r="I58" s="69">
        <f t="shared" si="14"/>
        <v>4800</v>
      </c>
      <c r="J58" s="69">
        <v>20000</v>
      </c>
      <c r="K58" s="53">
        <f t="shared" si="15"/>
        <v>20840</v>
      </c>
      <c r="L58" s="176">
        <f t="shared" si="16"/>
        <v>21756.959999999999</v>
      </c>
      <c r="O58" s="190"/>
    </row>
    <row r="59" spans="1:15" x14ac:dyDescent="0.3">
      <c r="A59" s="56" t="s">
        <v>891</v>
      </c>
      <c r="B59" s="56" t="s">
        <v>887</v>
      </c>
      <c r="C59" s="54">
        <v>40000</v>
      </c>
      <c r="D59" s="54"/>
      <c r="E59" s="54">
        <f t="shared" si="6"/>
        <v>40000</v>
      </c>
      <c r="F59" s="54"/>
      <c r="G59" s="53">
        <f t="shared" si="13"/>
        <v>40000</v>
      </c>
      <c r="H59" s="53">
        <v>6000</v>
      </c>
      <c r="I59" s="69">
        <f t="shared" si="14"/>
        <v>46000</v>
      </c>
      <c r="J59" s="69">
        <v>40000</v>
      </c>
      <c r="K59" s="53">
        <f t="shared" si="15"/>
        <v>41680</v>
      </c>
      <c r="L59" s="176">
        <f t="shared" si="16"/>
        <v>43513.919999999998</v>
      </c>
      <c r="O59" s="190"/>
    </row>
    <row r="60" spans="1:15" x14ac:dyDescent="0.3">
      <c r="A60" s="56" t="s">
        <v>892</v>
      </c>
      <c r="B60" s="56" t="s">
        <v>888</v>
      </c>
      <c r="C60" s="54">
        <v>10000</v>
      </c>
      <c r="D60" s="54"/>
      <c r="E60" s="54">
        <f t="shared" si="6"/>
        <v>10000</v>
      </c>
      <c r="F60" s="54"/>
      <c r="G60" s="53">
        <f t="shared" si="13"/>
        <v>10000</v>
      </c>
      <c r="H60" s="53">
        <v>-500</v>
      </c>
      <c r="I60" s="69">
        <f t="shared" si="14"/>
        <v>9500</v>
      </c>
      <c r="J60" s="69">
        <v>10000</v>
      </c>
      <c r="K60" s="53">
        <f t="shared" si="15"/>
        <v>10420</v>
      </c>
      <c r="L60" s="176">
        <f t="shared" si="16"/>
        <v>10878.48</v>
      </c>
      <c r="O60" s="190"/>
    </row>
    <row r="61" spans="1:15" x14ac:dyDescent="0.3">
      <c r="A61" s="56" t="s">
        <v>893</v>
      </c>
      <c r="B61" s="56" t="s">
        <v>889</v>
      </c>
      <c r="C61" s="54">
        <v>5000</v>
      </c>
      <c r="D61" s="54"/>
      <c r="E61" s="54">
        <f t="shared" si="6"/>
        <v>5000</v>
      </c>
      <c r="F61" s="54"/>
      <c r="G61" s="53">
        <f t="shared" si="13"/>
        <v>5000</v>
      </c>
      <c r="H61" s="53">
        <v>-2000</v>
      </c>
      <c r="I61" s="69">
        <f t="shared" si="14"/>
        <v>3000</v>
      </c>
      <c r="J61" s="69">
        <v>5000</v>
      </c>
      <c r="K61" s="53">
        <f t="shared" si="15"/>
        <v>5210</v>
      </c>
      <c r="L61" s="176">
        <f t="shared" si="16"/>
        <v>5439.24</v>
      </c>
      <c r="O61" s="190"/>
    </row>
    <row r="62" spans="1:15" x14ac:dyDescent="0.3">
      <c r="A62" s="56"/>
      <c r="B62" s="56"/>
      <c r="C62" s="54"/>
      <c r="D62" s="54"/>
      <c r="E62" s="54">
        <f t="shared" si="6"/>
        <v>0</v>
      </c>
      <c r="F62" s="54"/>
      <c r="G62" s="53">
        <f t="shared" si="13"/>
        <v>0</v>
      </c>
      <c r="H62" s="53">
        <v>0</v>
      </c>
      <c r="I62" s="69">
        <f t="shared" si="14"/>
        <v>0</v>
      </c>
      <c r="J62" s="69"/>
      <c r="K62" s="53">
        <f t="shared" si="15"/>
        <v>0</v>
      </c>
      <c r="L62" s="176">
        <f t="shared" si="16"/>
        <v>0</v>
      </c>
      <c r="O62" s="190"/>
    </row>
    <row r="63" spans="1:15" x14ac:dyDescent="0.3">
      <c r="A63" s="56"/>
      <c r="B63" s="55" t="s">
        <v>735</v>
      </c>
      <c r="C63" s="54"/>
      <c r="D63" s="54"/>
      <c r="E63" s="54">
        <f t="shared" si="6"/>
        <v>0</v>
      </c>
      <c r="F63" s="54"/>
      <c r="G63" s="53">
        <f t="shared" si="13"/>
        <v>0</v>
      </c>
      <c r="H63" s="53">
        <v>0</v>
      </c>
      <c r="I63" s="69">
        <f t="shared" si="14"/>
        <v>0</v>
      </c>
      <c r="J63" s="69"/>
      <c r="K63" s="53">
        <f t="shared" si="15"/>
        <v>0</v>
      </c>
      <c r="L63" s="176">
        <f t="shared" si="16"/>
        <v>0</v>
      </c>
      <c r="O63" s="190"/>
    </row>
    <row r="64" spans="1:15" x14ac:dyDescent="0.3">
      <c r="A64" s="56" t="s">
        <v>1198</v>
      </c>
      <c r="B64" s="56" t="s">
        <v>894</v>
      </c>
      <c r="C64" s="54">
        <v>30000</v>
      </c>
      <c r="D64" s="54"/>
      <c r="E64" s="54">
        <f t="shared" si="6"/>
        <v>30000</v>
      </c>
      <c r="F64" s="54"/>
      <c r="G64" s="53">
        <f t="shared" si="13"/>
        <v>30000</v>
      </c>
      <c r="H64" s="53">
        <v>-30000</v>
      </c>
      <c r="I64" s="69">
        <f t="shared" si="14"/>
        <v>0</v>
      </c>
      <c r="J64" s="69">
        <v>30000</v>
      </c>
      <c r="K64" s="53">
        <f t="shared" si="15"/>
        <v>31260</v>
      </c>
      <c r="L64" s="176">
        <f t="shared" si="16"/>
        <v>32635.440000000002</v>
      </c>
      <c r="O64" s="190"/>
    </row>
    <row r="65" spans="1:15" x14ac:dyDescent="0.3">
      <c r="A65" s="56" t="s">
        <v>896</v>
      </c>
      <c r="B65" s="56" t="s">
        <v>895</v>
      </c>
      <c r="C65" s="54">
        <v>30000</v>
      </c>
      <c r="D65" s="54"/>
      <c r="E65" s="54">
        <f t="shared" si="6"/>
        <v>30000</v>
      </c>
      <c r="F65" s="54"/>
      <c r="G65" s="53">
        <f t="shared" si="13"/>
        <v>30000</v>
      </c>
      <c r="H65" s="53">
        <v>-30000</v>
      </c>
      <c r="I65" s="69">
        <f t="shared" si="14"/>
        <v>0</v>
      </c>
      <c r="J65" s="69">
        <v>30000</v>
      </c>
      <c r="K65" s="53">
        <f t="shared" si="15"/>
        <v>31260</v>
      </c>
      <c r="L65" s="176">
        <f t="shared" si="16"/>
        <v>32635.440000000002</v>
      </c>
      <c r="O65" s="190"/>
    </row>
    <row r="66" spans="1:15" x14ac:dyDescent="0.3">
      <c r="A66" s="56"/>
      <c r="B66" s="56"/>
      <c r="C66" s="54"/>
      <c r="D66" s="54"/>
      <c r="E66" s="54">
        <f t="shared" si="6"/>
        <v>0</v>
      </c>
      <c r="F66" s="54"/>
      <c r="G66" s="53">
        <f t="shared" si="13"/>
        <v>0</v>
      </c>
      <c r="H66" s="53">
        <v>0</v>
      </c>
      <c r="I66" s="69">
        <f t="shared" si="14"/>
        <v>0</v>
      </c>
      <c r="J66" s="69"/>
      <c r="K66" s="53">
        <f t="shared" si="15"/>
        <v>0</v>
      </c>
      <c r="L66" s="176">
        <f t="shared" si="16"/>
        <v>0</v>
      </c>
      <c r="O66" s="190"/>
    </row>
    <row r="67" spans="1:15" x14ac:dyDescent="0.3">
      <c r="A67" s="56"/>
      <c r="B67" s="55" t="s">
        <v>736</v>
      </c>
      <c r="C67" s="54"/>
      <c r="D67" s="54"/>
      <c r="E67" s="54">
        <f t="shared" si="6"/>
        <v>0</v>
      </c>
      <c r="F67" s="54"/>
      <c r="G67" s="53">
        <f t="shared" si="13"/>
        <v>0</v>
      </c>
      <c r="H67" s="53">
        <v>0</v>
      </c>
      <c r="I67" s="69">
        <f t="shared" si="14"/>
        <v>0</v>
      </c>
      <c r="J67" s="69"/>
      <c r="K67" s="53">
        <f t="shared" si="15"/>
        <v>0</v>
      </c>
      <c r="L67" s="176">
        <f t="shared" si="16"/>
        <v>0</v>
      </c>
      <c r="O67" s="190"/>
    </row>
    <row r="68" spans="1:15" x14ac:dyDescent="0.3">
      <c r="A68" s="56" t="s">
        <v>897</v>
      </c>
      <c r="B68" s="56" t="s">
        <v>737</v>
      </c>
      <c r="C68" s="54">
        <v>15000</v>
      </c>
      <c r="D68" s="54"/>
      <c r="E68" s="54">
        <f t="shared" si="6"/>
        <v>15000</v>
      </c>
      <c r="F68" s="54"/>
      <c r="G68" s="53">
        <f t="shared" si="13"/>
        <v>15000</v>
      </c>
      <c r="H68" s="53">
        <v>-15000</v>
      </c>
      <c r="I68" s="69">
        <f t="shared" si="14"/>
        <v>0</v>
      </c>
      <c r="J68" s="69">
        <v>15000</v>
      </c>
      <c r="K68" s="53">
        <f t="shared" si="15"/>
        <v>15630</v>
      </c>
      <c r="L68" s="176">
        <f t="shared" si="16"/>
        <v>16317.720000000001</v>
      </c>
      <c r="O68" s="190"/>
    </row>
    <row r="69" spans="1:15" x14ac:dyDescent="0.3">
      <c r="A69" s="56" t="s">
        <v>899</v>
      </c>
      <c r="B69" s="56" t="s">
        <v>898</v>
      </c>
      <c r="C69" s="54">
        <v>50000</v>
      </c>
      <c r="D69" s="54"/>
      <c r="E69" s="54">
        <f t="shared" si="6"/>
        <v>50000</v>
      </c>
      <c r="F69" s="54"/>
      <c r="G69" s="53">
        <f t="shared" si="13"/>
        <v>50000</v>
      </c>
      <c r="H69" s="53">
        <v>-50000</v>
      </c>
      <c r="I69" s="69">
        <f t="shared" si="14"/>
        <v>0</v>
      </c>
      <c r="J69" s="69">
        <v>50000</v>
      </c>
      <c r="K69" s="53">
        <f t="shared" si="15"/>
        <v>52100</v>
      </c>
      <c r="L69" s="176">
        <f t="shared" si="16"/>
        <v>54392.4</v>
      </c>
      <c r="O69" s="190"/>
    </row>
    <row r="70" spans="1:15" x14ac:dyDescent="0.3">
      <c r="A70" s="56"/>
      <c r="B70" s="56"/>
      <c r="C70" s="54"/>
      <c r="D70" s="54"/>
      <c r="E70" s="54">
        <f t="shared" si="6"/>
        <v>0</v>
      </c>
      <c r="F70" s="54"/>
      <c r="G70" s="53">
        <f t="shared" si="13"/>
        <v>0</v>
      </c>
      <c r="H70" s="53">
        <v>0</v>
      </c>
      <c r="I70" s="69">
        <f t="shared" si="14"/>
        <v>0</v>
      </c>
      <c r="J70" s="69"/>
      <c r="K70" s="53">
        <f t="shared" si="15"/>
        <v>0</v>
      </c>
      <c r="L70" s="176">
        <f t="shared" si="16"/>
        <v>0</v>
      </c>
      <c r="O70" s="190"/>
    </row>
    <row r="71" spans="1:15" x14ac:dyDescent="0.3">
      <c r="A71" s="56"/>
      <c r="B71" s="55" t="s">
        <v>738</v>
      </c>
      <c r="C71" s="54"/>
      <c r="D71" s="54"/>
      <c r="E71" s="54">
        <f t="shared" si="6"/>
        <v>0</v>
      </c>
      <c r="F71" s="54"/>
      <c r="G71" s="53">
        <f t="shared" si="13"/>
        <v>0</v>
      </c>
      <c r="H71" s="53">
        <v>0</v>
      </c>
      <c r="I71" s="69">
        <f t="shared" si="14"/>
        <v>0</v>
      </c>
      <c r="J71" s="69"/>
      <c r="K71" s="53">
        <f t="shared" si="15"/>
        <v>0</v>
      </c>
      <c r="L71" s="176">
        <f t="shared" si="16"/>
        <v>0</v>
      </c>
      <c r="O71" s="190"/>
    </row>
    <row r="72" spans="1:15" x14ac:dyDescent="0.3">
      <c r="A72" s="56" t="s">
        <v>901</v>
      </c>
      <c r="B72" s="56" t="s">
        <v>902</v>
      </c>
      <c r="C72" s="54">
        <v>80000</v>
      </c>
      <c r="D72" s="54"/>
      <c r="E72" s="54">
        <f t="shared" si="6"/>
        <v>80000</v>
      </c>
      <c r="F72" s="54"/>
      <c r="G72" s="53">
        <f t="shared" si="13"/>
        <v>80000</v>
      </c>
      <c r="H72" s="53">
        <v>-80000</v>
      </c>
      <c r="I72" s="69">
        <f t="shared" si="14"/>
        <v>0</v>
      </c>
      <c r="J72" s="69">
        <v>50000</v>
      </c>
      <c r="K72" s="53">
        <f t="shared" si="15"/>
        <v>52100</v>
      </c>
      <c r="L72" s="176">
        <f t="shared" si="16"/>
        <v>54392.4</v>
      </c>
      <c r="O72" s="190"/>
    </row>
    <row r="73" spans="1:15" x14ac:dyDescent="0.3">
      <c r="A73" s="56" t="s">
        <v>903</v>
      </c>
      <c r="B73" s="56" t="s">
        <v>900</v>
      </c>
      <c r="C73" s="54">
        <v>50000</v>
      </c>
      <c r="D73" s="54"/>
      <c r="E73" s="54">
        <f t="shared" si="6"/>
        <v>50000</v>
      </c>
      <c r="F73" s="54"/>
      <c r="G73" s="53">
        <f t="shared" si="13"/>
        <v>50000</v>
      </c>
      <c r="H73" s="53">
        <v>-50000</v>
      </c>
      <c r="I73" s="69">
        <f t="shared" si="14"/>
        <v>0</v>
      </c>
      <c r="J73" s="69">
        <v>20000</v>
      </c>
      <c r="K73" s="53">
        <f t="shared" si="15"/>
        <v>20840</v>
      </c>
      <c r="L73" s="176">
        <f t="shared" si="16"/>
        <v>21756.959999999999</v>
      </c>
      <c r="O73" s="190"/>
    </row>
    <row r="74" spans="1:15" x14ac:dyDescent="0.3">
      <c r="A74" s="56" t="s">
        <v>904</v>
      </c>
      <c r="B74" s="56" t="s">
        <v>905</v>
      </c>
      <c r="C74" s="54">
        <v>15000</v>
      </c>
      <c r="D74" s="54"/>
      <c r="E74" s="54">
        <f t="shared" si="6"/>
        <v>15000</v>
      </c>
      <c r="F74" s="54"/>
      <c r="G74" s="53">
        <f t="shared" si="13"/>
        <v>15000</v>
      </c>
      <c r="H74" s="53">
        <v>-15000</v>
      </c>
      <c r="I74" s="69">
        <f t="shared" si="14"/>
        <v>0</v>
      </c>
      <c r="J74" s="69">
        <v>10000</v>
      </c>
      <c r="K74" s="53">
        <f t="shared" si="15"/>
        <v>10420</v>
      </c>
      <c r="L74" s="176">
        <f t="shared" si="16"/>
        <v>10878.48</v>
      </c>
      <c r="O74" s="190"/>
    </row>
    <row r="75" spans="1:15" x14ac:dyDescent="0.3">
      <c r="A75" s="56"/>
      <c r="B75" s="56"/>
      <c r="C75" s="54"/>
      <c r="D75" s="54"/>
      <c r="E75" s="54">
        <f t="shared" si="6"/>
        <v>0</v>
      </c>
      <c r="F75" s="54"/>
      <c r="G75" s="53">
        <f t="shared" si="13"/>
        <v>0</v>
      </c>
      <c r="H75" s="53">
        <v>0</v>
      </c>
      <c r="I75" s="69">
        <f t="shared" si="14"/>
        <v>0</v>
      </c>
      <c r="J75" s="69"/>
      <c r="K75" s="53">
        <f t="shared" si="15"/>
        <v>0</v>
      </c>
      <c r="L75" s="176">
        <f t="shared" si="16"/>
        <v>0</v>
      </c>
      <c r="O75" s="190"/>
    </row>
    <row r="76" spans="1:15" x14ac:dyDescent="0.3">
      <c r="A76" s="56"/>
      <c r="B76" s="55" t="s">
        <v>739</v>
      </c>
      <c r="C76" s="54"/>
      <c r="D76" s="54"/>
      <c r="E76" s="54">
        <f t="shared" si="6"/>
        <v>0</v>
      </c>
      <c r="F76" s="54"/>
      <c r="G76" s="53">
        <f t="shared" si="13"/>
        <v>0</v>
      </c>
      <c r="H76" s="53">
        <v>0</v>
      </c>
      <c r="I76" s="69">
        <f t="shared" si="14"/>
        <v>0</v>
      </c>
      <c r="J76" s="69"/>
      <c r="K76" s="53">
        <f t="shared" si="15"/>
        <v>0</v>
      </c>
      <c r="L76" s="176">
        <f t="shared" si="16"/>
        <v>0</v>
      </c>
      <c r="O76" s="190"/>
    </row>
    <row r="77" spans="1:15" x14ac:dyDescent="0.3">
      <c r="A77" s="56" t="s">
        <v>908</v>
      </c>
      <c r="B77" s="56" t="s">
        <v>906</v>
      </c>
      <c r="C77" s="54">
        <v>30000</v>
      </c>
      <c r="D77" s="54"/>
      <c r="E77" s="54">
        <f t="shared" si="6"/>
        <v>30000</v>
      </c>
      <c r="F77" s="54"/>
      <c r="G77" s="53">
        <f t="shared" si="13"/>
        <v>30000</v>
      </c>
      <c r="H77" s="53">
        <v>-30000</v>
      </c>
      <c r="I77" s="69">
        <f t="shared" si="14"/>
        <v>0</v>
      </c>
      <c r="J77" s="69">
        <v>30000</v>
      </c>
      <c r="K77" s="53">
        <f t="shared" si="15"/>
        <v>31260</v>
      </c>
      <c r="L77" s="176">
        <f t="shared" si="16"/>
        <v>32635.440000000002</v>
      </c>
      <c r="O77" s="190"/>
    </row>
    <row r="78" spans="1:15" x14ac:dyDescent="0.3">
      <c r="A78" s="56" t="s">
        <v>909</v>
      </c>
      <c r="B78" s="56" t="s">
        <v>907</v>
      </c>
      <c r="C78" s="54">
        <v>30000</v>
      </c>
      <c r="D78" s="54"/>
      <c r="E78" s="54">
        <f t="shared" si="6"/>
        <v>30000</v>
      </c>
      <c r="F78" s="54"/>
      <c r="G78" s="53">
        <f t="shared" si="13"/>
        <v>30000</v>
      </c>
      <c r="H78" s="53">
        <v>-30000</v>
      </c>
      <c r="I78" s="69">
        <f t="shared" si="14"/>
        <v>0</v>
      </c>
      <c r="J78" s="69">
        <v>20000</v>
      </c>
      <c r="K78" s="53">
        <f t="shared" si="15"/>
        <v>20840</v>
      </c>
      <c r="L78" s="176">
        <f t="shared" si="16"/>
        <v>21756.959999999999</v>
      </c>
      <c r="O78" s="190"/>
    </row>
    <row r="79" spans="1:15" x14ac:dyDescent="0.3">
      <c r="A79" s="56"/>
      <c r="B79" s="56"/>
      <c r="C79" s="54"/>
      <c r="D79" s="54"/>
      <c r="E79" s="54">
        <f t="shared" si="6"/>
        <v>0</v>
      </c>
      <c r="F79" s="54"/>
      <c r="G79" s="53">
        <f t="shared" si="13"/>
        <v>0</v>
      </c>
      <c r="H79" s="53">
        <v>0</v>
      </c>
      <c r="I79" s="69">
        <f t="shared" si="14"/>
        <v>0</v>
      </c>
      <c r="J79" s="69"/>
      <c r="K79" s="53">
        <f t="shared" si="15"/>
        <v>0</v>
      </c>
      <c r="L79" s="176">
        <f t="shared" si="16"/>
        <v>0</v>
      </c>
      <c r="O79" s="190"/>
    </row>
    <row r="80" spans="1:15" x14ac:dyDescent="0.3">
      <c r="A80" s="56"/>
      <c r="B80" s="55" t="s">
        <v>740</v>
      </c>
      <c r="C80" s="54"/>
      <c r="D80" s="54"/>
      <c r="E80" s="54">
        <f t="shared" si="6"/>
        <v>0</v>
      </c>
      <c r="F80" s="54"/>
      <c r="G80" s="53">
        <f t="shared" si="13"/>
        <v>0</v>
      </c>
      <c r="H80" s="53">
        <v>0</v>
      </c>
      <c r="I80" s="69">
        <f t="shared" si="14"/>
        <v>0</v>
      </c>
      <c r="J80" s="69"/>
      <c r="K80" s="53">
        <f t="shared" si="15"/>
        <v>0</v>
      </c>
      <c r="L80" s="176">
        <f t="shared" si="16"/>
        <v>0</v>
      </c>
      <c r="O80" s="190"/>
    </row>
    <row r="81" spans="1:15" x14ac:dyDescent="0.3">
      <c r="A81" s="56" t="s">
        <v>911</v>
      </c>
      <c r="B81" s="56" t="s">
        <v>910</v>
      </c>
      <c r="C81" s="54">
        <v>30000</v>
      </c>
      <c r="D81" s="54"/>
      <c r="E81" s="54">
        <f t="shared" si="6"/>
        <v>30000</v>
      </c>
      <c r="F81" s="54"/>
      <c r="G81" s="53">
        <f t="shared" si="13"/>
        <v>30000</v>
      </c>
      <c r="H81" s="53">
        <v>-30000</v>
      </c>
      <c r="I81" s="69">
        <f t="shared" si="14"/>
        <v>0</v>
      </c>
      <c r="J81" s="69">
        <v>20000</v>
      </c>
      <c r="K81" s="53">
        <f t="shared" si="15"/>
        <v>20840</v>
      </c>
      <c r="L81" s="176">
        <f t="shared" si="16"/>
        <v>21756.959999999999</v>
      </c>
      <c r="O81" s="190"/>
    </row>
    <row r="82" spans="1:15" x14ac:dyDescent="0.3">
      <c r="A82" s="56"/>
      <c r="B82" s="56"/>
      <c r="C82" s="54"/>
      <c r="D82" s="54"/>
      <c r="E82" s="54">
        <f t="shared" si="6"/>
        <v>0</v>
      </c>
      <c r="F82" s="54"/>
      <c r="G82" s="53">
        <f t="shared" si="13"/>
        <v>0</v>
      </c>
      <c r="H82" s="53">
        <v>0</v>
      </c>
      <c r="I82" s="69">
        <f t="shared" si="14"/>
        <v>0</v>
      </c>
      <c r="J82" s="69"/>
      <c r="K82" s="53">
        <f t="shared" si="15"/>
        <v>0</v>
      </c>
      <c r="L82" s="176">
        <f t="shared" si="16"/>
        <v>0</v>
      </c>
      <c r="O82" s="190"/>
    </row>
    <row r="83" spans="1:15" x14ac:dyDescent="0.3">
      <c r="A83" s="56"/>
      <c r="B83" s="55" t="s">
        <v>741</v>
      </c>
      <c r="C83" s="54"/>
      <c r="D83" s="54"/>
      <c r="E83" s="54">
        <f t="shared" si="6"/>
        <v>0</v>
      </c>
      <c r="F83" s="54"/>
      <c r="G83" s="53">
        <f t="shared" si="13"/>
        <v>0</v>
      </c>
      <c r="H83" s="53">
        <v>0</v>
      </c>
      <c r="I83" s="69">
        <f t="shared" si="14"/>
        <v>0</v>
      </c>
      <c r="J83" s="69"/>
      <c r="K83" s="53">
        <f t="shared" si="15"/>
        <v>0</v>
      </c>
      <c r="L83" s="176">
        <f t="shared" si="16"/>
        <v>0</v>
      </c>
      <c r="O83" s="190"/>
    </row>
    <row r="84" spans="1:15" x14ac:dyDescent="0.3">
      <c r="A84" s="56" t="s">
        <v>913</v>
      </c>
      <c r="B84" s="56" t="s">
        <v>912</v>
      </c>
      <c r="C84" s="54">
        <v>30000</v>
      </c>
      <c r="D84" s="54"/>
      <c r="E84" s="54">
        <f t="shared" si="6"/>
        <v>30000</v>
      </c>
      <c r="F84" s="54"/>
      <c r="G84" s="53">
        <f t="shared" si="13"/>
        <v>30000</v>
      </c>
      <c r="H84" s="53">
        <v>-30000</v>
      </c>
      <c r="I84" s="69">
        <f t="shared" ref="I84:I115" si="17">G84+H84</f>
        <v>0</v>
      </c>
      <c r="J84" s="69">
        <v>20000</v>
      </c>
      <c r="K84" s="53">
        <f t="shared" ref="K84:K115" si="18">J84*104.2%</f>
        <v>20840</v>
      </c>
      <c r="L84" s="176">
        <f t="shared" ref="L84:L115" si="19">K84*104.4%</f>
        <v>21756.959999999999</v>
      </c>
      <c r="O84" s="190"/>
    </row>
    <row r="85" spans="1:15" x14ac:dyDescent="0.3">
      <c r="A85" s="56"/>
      <c r="B85" s="56"/>
      <c r="C85" s="54"/>
      <c r="D85" s="54"/>
      <c r="E85" s="54">
        <f t="shared" ref="E85:E148" si="20">C85+D85</f>
        <v>0</v>
      </c>
      <c r="F85" s="54"/>
      <c r="G85" s="53">
        <f t="shared" si="13"/>
        <v>0</v>
      </c>
      <c r="H85" s="53">
        <v>0</v>
      </c>
      <c r="I85" s="69">
        <f t="shared" si="17"/>
        <v>0</v>
      </c>
      <c r="J85" s="69"/>
      <c r="K85" s="53">
        <f t="shared" si="18"/>
        <v>0</v>
      </c>
      <c r="L85" s="176">
        <f t="shared" si="19"/>
        <v>0</v>
      </c>
      <c r="O85" s="190"/>
    </row>
    <row r="86" spans="1:15" x14ac:dyDescent="0.3">
      <c r="A86" s="56"/>
      <c r="B86" s="55" t="s">
        <v>742</v>
      </c>
      <c r="C86" s="54"/>
      <c r="D86" s="54"/>
      <c r="E86" s="54">
        <f t="shared" si="20"/>
        <v>0</v>
      </c>
      <c r="F86" s="54"/>
      <c r="G86" s="53">
        <f t="shared" si="13"/>
        <v>0</v>
      </c>
      <c r="H86" s="53">
        <v>0</v>
      </c>
      <c r="I86" s="69">
        <f t="shared" si="17"/>
        <v>0</v>
      </c>
      <c r="J86" s="69"/>
      <c r="K86" s="53">
        <f t="shared" si="18"/>
        <v>0</v>
      </c>
      <c r="L86" s="176">
        <f t="shared" si="19"/>
        <v>0</v>
      </c>
      <c r="O86" s="190"/>
    </row>
    <row r="87" spans="1:15" x14ac:dyDescent="0.3">
      <c r="A87" s="56" t="s">
        <v>914</v>
      </c>
      <c r="B87" s="56" t="s">
        <v>743</v>
      </c>
      <c r="C87" s="54">
        <v>60000</v>
      </c>
      <c r="D87" s="54"/>
      <c r="E87" s="54">
        <f t="shared" si="20"/>
        <v>60000</v>
      </c>
      <c r="F87" s="54"/>
      <c r="G87" s="53">
        <f t="shared" si="13"/>
        <v>60000</v>
      </c>
      <c r="H87" s="53">
        <v>-15250</v>
      </c>
      <c r="I87" s="69">
        <f t="shared" si="17"/>
        <v>44750</v>
      </c>
      <c r="J87" s="69">
        <v>50000</v>
      </c>
      <c r="K87" s="53">
        <f t="shared" si="18"/>
        <v>52100</v>
      </c>
      <c r="L87" s="176">
        <f t="shared" si="19"/>
        <v>54392.4</v>
      </c>
      <c r="O87" s="190"/>
    </row>
    <row r="88" spans="1:15" x14ac:dyDescent="0.3">
      <c r="A88" s="56" t="s">
        <v>915</v>
      </c>
      <c r="B88" s="56" t="s">
        <v>744</v>
      </c>
      <c r="C88" s="54">
        <v>15000</v>
      </c>
      <c r="D88" s="54"/>
      <c r="E88" s="54">
        <f t="shared" si="20"/>
        <v>15000</v>
      </c>
      <c r="F88" s="54"/>
      <c r="G88" s="53">
        <f t="shared" si="13"/>
        <v>15000</v>
      </c>
      <c r="H88" s="53">
        <v>-10</v>
      </c>
      <c r="I88" s="69">
        <f t="shared" si="17"/>
        <v>14990</v>
      </c>
      <c r="J88" s="69">
        <v>15000</v>
      </c>
      <c r="K88" s="53">
        <f t="shared" si="18"/>
        <v>15630</v>
      </c>
      <c r="L88" s="176">
        <f t="shared" si="19"/>
        <v>16317.720000000001</v>
      </c>
      <c r="O88" s="190"/>
    </row>
    <row r="89" spans="1:15" x14ac:dyDescent="0.3">
      <c r="A89" s="56" t="s">
        <v>916</v>
      </c>
      <c r="B89" s="56" t="s">
        <v>745</v>
      </c>
      <c r="C89" s="54">
        <v>80000</v>
      </c>
      <c r="D89" s="54"/>
      <c r="E89" s="54">
        <f t="shared" si="20"/>
        <v>80000</v>
      </c>
      <c r="F89" s="54"/>
      <c r="G89" s="53">
        <f t="shared" si="13"/>
        <v>80000</v>
      </c>
      <c r="H89" s="53">
        <v>11500</v>
      </c>
      <c r="I89" s="69">
        <f t="shared" si="17"/>
        <v>91500</v>
      </c>
      <c r="J89" s="69">
        <v>60000</v>
      </c>
      <c r="K89" s="53">
        <f t="shared" si="18"/>
        <v>62520</v>
      </c>
      <c r="L89" s="176">
        <f t="shared" si="19"/>
        <v>65270.880000000005</v>
      </c>
      <c r="O89" s="190"/>
    </row>
    <row r="90" spans="1:15" x14ac:dyDescent="0.3">
      <c r="A90" s="56" t="s">
        <v>917</v>
      </c>
      <c r="B90" s="56" t="s">
        <v>746</v>
      </c>
      <c r="C90" s="54">
        <v>5000</v>
      </c>
      <c r="D90" s="54"/>
      <c r="E90" s="54">
        <f t="shared" si="20"/>
        <v>5000</v>
      </c>
      <c r="F90" s="54"/>
      <c r="G90" s="53">
        <f t="shared" si="13"/>
        <v>5000</v>
      </c>
      <c r="H90" s="53">
        <v>-5000</v>
      </c>
      <c r="I90" s="69">
        <f t="shared" si="17"/>
        <v>0</v>
      </c>
      <c r="J90" s="69">
        <v>5000</v>
      </c>
      <c r="K90" s="53">
        <f t="shared" si="18"/>
        <v>5210</v>
      </c>
      <c r="L90" s="176">
        <f t="shared" si="19"/>
        <v>5439.24</v>
      </c>
      <c r="O90" s="190"/>
    </row>
    <row r="91" spans="1:15" x14ac:dyDescent="0.3">
      <c r="A91" s="56" t="s">
        <v>918</v>
      </c>
      <c r="B91" s="56" t="s">
        <v>747</v>
      </c>
      <c r="C91" s="54">
        <v>20000</v>
      </c>
      <c r="D91" s="54"/>
      <c r="E91" s="54">
        <f t="shared" si="20"/>
        <v>20000</v>
      </c>
      <c r="F91" s="54"/>
      <c r="G91" s="53">
        <f t="shared" si="13"/>
        <v>20000</v>
      </c>
      <c r="H91" s="53">
        <v>-250</v>
      </c>
      <c r="I91" s="69">
        <f t="shared" si="17"/>
        <v>19750</v>
      </c>
      <c r="J91" s="69">
        <v>20000</v>
      </c>
      <c r="K91" s="53">
        <f t="shared" si="18"/>
        <v>20840</v>
      </c>
      <c r="L91" s="176">
        <f t="shared" si="19"/>
        <v>21756.959999999999</v>
      </c>
      <c r="O91" s="190"/>
    </row>
    <row r="92" spans="1:15" x14ac:dyDescent="0.3">
      <c r="A92" s="56"/>
      <c r="B92" s="56"/>
      <c r="C92" s="54"/>
      <c r="D92" s="54"/>
      <c r="E92" s="54">
        <f t="shared" si="20"/>
        <v>0</v>
      </c>
      <c r="F92" s="54"/>
      <c r="G92" s="53">
        <f t="shared" si="13"/>
        <v>0</v>
      </c>
      <c r="H92" s="53">
        <v>0</v>
      </c>
      <c r="I92" s="69">
        <f t="shared" si="17"/>
        <v>0</v>
      </c>
      <c r="J92" s="69"/>
      <c r="K92" s="53">
        <f t="shared" si="18"/>
        <v>0</v>
      </c>
      <c r="L92" s="176">
        <f t="shared" si="19"/>
        <v>0</v>
      </c>
      <c r="O92" s="190"/>
    </row>
    <row r="93" spans="1:15" x14ac:dyDescent="0.3">
      <c r="A93" s="56"/>
      <c r="B93" s="55" t="s">
        <v>748</v>
      </c>
      <c r="C93" s="54"/>
      <c r="D93" s="54"/>
      <c r="E93" s="54">
        <f t="shared" si="20"/>
        <v>0</v>
      </c>
      <c r="F93" s="54"/>
      <c r="G93" s="53">
        <f t="shared" si="13"/>
        <v>0</v>
      </c>
      <c r="H93" s="53">
        <v>0</v>
      </c>
      <c r="I93" s="69">
        <f t="shared" si="17"/>
        <v>0</v>
      </c>
      <c r="J93" s="69"/>
      <c r="K93" s="53">
        <f t="shared" si="18"/>
        <v>0</v>
      </c>
      <c r="L93" s="176">
        <f t="shared" si="19"/>
        <v>0</v>
      </c>
      <c r="O93" s="190"/>
    </row>
    <row r="94" spans="1:15" x14ac:dyDescent="0.3">
      <c r="A94" s="56" t="s">
        <v>919</v>
      </c>
      <c r="B94" s="56" t="s">
        <v>920</v>
      </c>
      <c r="C94" s="54">
        <v>30000</v>
      </c>
      <c r="D94" s="54"/>
      <c r="E94" s="54">
        <f t="shared" si="20"/>
        <v>30000</v>
      </c>
      <c r="F94" s="54"/>
      <c r="G94" s="53">
        <f t="shared" si="13"/>
        <v>30000</v>
      </c>
      <c r="H94" s="53">
        <v>-30000</v>
      </c>
      <c r="I94" s="69">
        <f t="shared" si="17"/>
        <v>0</v>
      </c>
      <c r="J94" s="69">
        <v>30000</v>
      </c>
      <c r="K94" s="53">
        <f t="shared" si="18"/>
        <v>31260</v>
      </c>
      <c r="L94" s="176">
        <f t="shared" si="19"/>
        <v>32635.440000000002</v>
      </c>
      <c r="O94" s="190"/>
    </row>
    <row r="95" spans="1:15" x14ac:dyDescent="0.3">
      <c r="A95" s="56" t="s">
        <v>922</v>
      </c>
      <c r="B95" s="56" t="s">
        <v>921</v>
      </c>
      <c r="C95" s="54">
        <v>150000</v>
      </c>
      <c r="D95" s="54"/>
      <c r="E95" s="54">
        <f t="shared" si="20"/>
        <v>150000</v>
      </c>
      <c r="F95" s="54"/>
      <c r="G95" s="53">
        <f t="shared" si="13"/>
        <v>150000</v>
      </c>
      <c r="H95" s="53"/>
      <c r="I95" s="69">
        <f t="shared" si="17"/>
        <v>150000</v>
      </c>
      <c r="J95" s="69">
        <v>150000</v>
      </c>
      <c r="K95" s="53">
        <f t="shared" si="18"/>
        <v>156300</v>
      </c>
      <c r="L95" s="176">
        <f t="shared" si="19"/>
        <v>163177.20000000001</v>
      </c>
      <c r="O95" s="190"/>
    </row>
    <row r="96" spans="1:15" x14ac:dyDescent="0.3">
      <c r="A96" s="56"/>
      <c r="B96" s="56"/>
      <c r="C96" s="54"/>
      <c r="D96" s="54"/>
      <c r="E96" s="54">
        <f t="shared" si="20"/>
        <v>0</v>
      </c>
      <c r="F96" s="54"/>
      <c r="G96" s="53">
        <f t="shared" si="13"/>
        <v>0</v>
      </c>
      <c r="H96" s="53"/>
      <c r="I96" s="69">
        <f t="shared" si="17"/>
        <v>0</v>
      </c>
      <c r="J96" s="69"/>
      <c r="K96" s="53">
        <f t="shared" si="18"/>
        <v>0</v>
      </c>
      <c r="L96" s="176">
        <f t="shared" si="19"/>
        <v>0</v>
      </c>
      <c r="O96" s="190"/>
    </row>
    <row r="97" spans="1:15" x14ac:dyDescent="0.3">
      <c r="A97" s="56"/>
      <c r="B97" s="55" t="s">
        <v>749</v>
      </c>
      <c r="C97" s="54"/>
      <c r="D97" s="54"/>
      <c r="E97" s="54">
        <f t="shared" si="20"/>
        <v>0</v>
      </c>
      <c r="F97" s="54"/>
      <c r="G97" s="53">
        <f t="shared" si="13"/>
        <v>0</v>
      </c>
      <c r="H97" s="53"/>
      <c r="I97" s="69">
        <f t="shared" si="17"/>
        <v>0</v>
      </c>
      <c r="J97" s="69"/>
      <c r="K97" s="53">
        <f t="shared" si="18"/>
        <v>0</v>
      </c>
      <c r="L97" s="176">
        <f t="shared" si="19"/>
        <v>0</v>
      </c>
      <c r="O97" s="190"/>
    </row>
    <row r="98" spans="1:15" x14ac:dyDescent="0.3">
      <c r="A98" s="56" t="s">
        <v>925</v>
      </c>
      <c r="B98" s="56" t="s">
        <v>923</v>
      </c>
      <c r="C98" s="54">
        <v>20000</v>
      </c>
      <c r="D98" s="54"/>
      <c r="E98" s="54">
        <f t="shared" si="20"/>
        <v>20000</v>
      </c>
      <c r="F98" s="54"/>
      <c r="G98" s="53">
        <f t="shared" si="13"/>
        <v>20000</v>
      </c>
      <c r="H98" s="53">
        <v>-20000</v>
      </c>
      <c r="I98" s="69">
        <f t="shared" si="17"/>
        <v>0</v>
      </c>
      <c r="J98" s="69">
        <v>20000</v>
      </c>
      <c r="K98" s="53">
        <f t="shared" si="18"/>
        <v>20840</v>
      </c>
      <c r="L98" s="176">
        <f t="shared" si="19"/>
        <v>21756.959999999999</v>
      </c>
      <c r="O98" s="190"/>
    </row>
    <row r="99" spans="1:15" x14ac:dyDescent="0.3">
      <c r="A99" s="56" t="s">
        <v>926</v>
      </c>
      <c r="B99" s="56" t="s">
        <v>924</v>
      </c>
      <c r="C99" s="54">
        <v>50000</v>
      </c>
      <c r="D99" s="54"/>
      <c r="E99" s="54">
        <f t="shared" si="20"/>
        <v>50000</v>
      </c>
      <c r="F99" s="54"/>
      <c r="G99" s="53">
        <f t="shared" si="13"/>
        <v>50000</v>
      </c>
      <c r="H99" s="53">
        <v>-50000</v>
      </c>
      <c r="I99" s="69">
        <f t="shared" si="17"/>
        <v>0</v>
      </c>
      <c r="J99" s="69">
        <v>50000</v>
      </c>
      <c r="K99" s="53">
        <f t="shared" si="18"/>
        <v>52100</v>
      </c>
      <c r="L99" s="176">
        <f t="shared" si="19"/>
        <v>54392.4</v>
      </c>
      <c r="O99" s="190"/>
    </row>
    <row r="100" spans="1:15" x14ac:dyDescent="0.3">
      <c r="A100" s="56"/>
      <c r="B100" s="56"/>
      <c r="C100" s="54"/>
      <c r="D100" s="54"/>
      <c r="E100" s="54">
        <f t="shared" si="20"/>
        <v>0</v>
      </c>
      <c r="F100" s="54"/>
      <c r="G100" s="53">
        <f t="shared" si="13"/>
        <v>0</v>
      </c>
      <c r="H100" s="53"/>
      <c r="I100" s="69">
        <f t="shared" si="17"/>
        <v>0</v>
      </c>
      <c r="J100" s="69"/>
      <c r="K100" s="53">
        <f t="shared" si="18"/>
        <v>0</v>
      </c>
      <c r="L100" s="176">
        <f t="shared" si="19"/>
        <v>0</v>
      </c>
      <c r="O100" s="190"/>
    </row>
    <row r="101" spans="1:15" x14ac:dyDescent="0.3">
      <c r="A101" s="56"/>
      <c r="B101" s="55" t="s">
        <v>750</v>
      </c>
      <c r="C101" s="54"/>
      <c r="D101" s="54"/>
      <c r="E101" s="54">
        <f t="shared" si="20"/>
        <v>0</v>
      </c>
      <c r="F101" s="54"/>
      <c r="G101" s="53">
        <f t="shared" si="13"/>
        <v>0</v>
      </c>
      <c r="H101" s="53"/>
      <c r="I101" s="69">
        <f t="shared" si="17"/>
        <v>0</v>
      </c>
      <c r="J101" s="69"/>
      <c r="K101" s="53">
        <f t="shared" si="18"/>
        <v>0</v>
      </c>
      <c r="L101" s="176">
        <f t="shared" si="19"/>
        <v>0</v>
      </c>
      <c r="O101" s="190"/>
    </row>
    <row r="102" spans="1:15" x14ac:dyDescent="0.3">
      <c r="A102" s="56" t="s">
        <v>929</v>
      </c>
      <c r="B102" s="56" t="s">
        <v>928</v>
      </c>
      <c r="C102" s="54">
        <v>80000</v>
      </c>
      <c r="D102" s="54"/>
      <c r="E102" s="54">
        <f t="shared" si="20"/>
        <v>80000</v>
      </c>
      <c r="F102" s="54"/>
      <c r="G102" s="53">
        <f t="shared" si="13"/>
        <v>80000</v>
      </c>
      <c r="H102" s="53">
        <v>-80000</v>
      </c>
      <c r="I102" s="69">
        <f t="shared" si="17"/>
        <v>0</v>
      </c>
      <c r="J102" s="69">
        <v>80000</v>
      </c>
      <c r="K102" s="53">
        <f t="shared" si="18"/>
        <v>83360</v>
      </c>
      <c r="L102" s="176">
        <f t="shared" si="19"/>
        <v>87027.839999999997</v>
      </c>
      <c r="O102" s="190"/>
    </row>
    <row r="103" spans="1:15" x14ac:dyDescent="0.3">
      <c r="A103" s="56" t="s">
        <v>930</v>
      </c>
      <c r="B103" s="56" t="s">
        <v>927</v>
      </c>
      <c r="C103" s="54">
        <v>50000</v>
      </c>
      <c r="D103" s="54"/>
      <c r="E103" s="54">
        <f t="shared" si="20"/>
        <v>50000</v>
      </c>
      <c r="F103" s="54"/>
      <c r="G103" s="53">
        <f t="shared" si="13"/>
        <v>50000</v>
      </c>
      <c r="H103" s="53">
        <v>-50000</v>
      </c>
      <c r="I103" s="69">
        <f t="shared" si="17"/>
        <v>0</v>
      </c>
      <c r="J103" s="69">
        <v>50000</v>
      </c>
      <c r="K103" s="53">
        <f t="shared" si="18"/>
        <v>52100</v>
      </c>
      <c r="L103" s="176">
        <f t="shared" si="19"/>
        <v>54392.4</v>
      </c>
      <c r="O103" s="190"/>
    </row>
    <row r="104" spans="1:15" x14ac:dyDescent="0.3">
      <c r="A104" s="56" t="s">
        <v>1471</v>
      </c>
      <c r="B104" s="56" t="s">
        <v>751</v>
      </c>
      <c r="C104" s="54">
        <v>15000</v>
      </c>
      <c r="D104" s="54"/>
      <c r="E104" s="54">
        <f t="shared" si="20"/>
        <v>15000</v>
      </c>
      <c r="F104" s="54"/>
      <c r="G104" s="53">
        <f t="shared" si="13"/>
        <v>15000</v>
      </c>
      <c r="H104" s="53">
        <v>-15000</v>
      </c>
      <c r="I104" s="69">
        <f t="shared" si="17"/>
        <v>0</v>
      </c>
      <c r="J104" s="69">
        <v>15000</v>
      </c>
      <c r="K104" s="53">
        <f t="shared" si="18"/>
        <v>15630</v>
      </c>
      <c r="L104" s="176">
        <f t="shared" si="19"/>
        <v>16317.720000000001</v>
      </c>
      <c r="O104" s="190"/>
    </row>
    <row r="105" spans="1:15" x14ac:dyDescent="0.3">
      <c r="A105" s="56"/>
      <c r="B105" s="56"/>
      <c r="C105" s="54"/>
      <c r="D105" s="54"/>
      <c r="E105" s="54">
        <f t="shared" si="20"/>
        <v>0</v>
      </c>
      <c r="F105" s="54"/>
      <c r="G105" s="53">
        <f t="shared" si="13"/>
        <v>0</v>
      </c>
      <c r="H105" s="53"/>
      <c r="I105" s="69">
        <f t="shared" si="17"/>
        <v>0</v>
      </c>
      <c r="J105" s="69"/>
      <c r="K105" s="53">
        <f t="shared" si="18"/>
        <v>0</v>
      </c>
      <c r="L105" s="176">
        <f t="shared" si="19"/>
        <v>0</v>
      </c>
      <c r="O105" s="190"/>
    </row>
    <row r="106" spans="1:15" x14ac:dyDescent="0.3">
      <c r="A106" s="56"/>
      <c r="B106" s="55" t="s">
        <v>752</v>
      </c>
      <c r="C106" s="54"/>
      <c r="D106" s="54"/>
      <c r="E106" s="54">
        <f t="shared" si="20"/>
        <v>0</v>
      </c>
      <c r="F106" s="54"/>
      <c r="G106" s="53">
        <f t="shared" si="13"/>
        <v>0</v>
      </c>
      <c r="H106" s="53"/>
      <c r="I106" s="69">
        <f t="shared" si="17"/>
        <v>0</v>
      </c>
      <c r="J106" s="69"/>
      <c r="K106" s="53">
        <f t="shared" si="18"/>
        <v>0</v>
      </c>
      <c r="L106" s="176">
        <f t="shared" si="19"/>
        <v>0</v>
      </c>
      <c r="O106" s="190"/>
    </row>
    <row r="107" spans="1:15" x14ac:dyDescent="0.3">
      <c r="A107" s="56" t="s">
        <v>931</v>
      </c>
      <c r="B107" s="56" t="s">
        <v>753</v>
      </c>
      <c r="C107" s="54">
        <v>15000</v>
      </c>
      <c r="D107" s="54"/>
      <c r="E107" s="54">
        <f t="shared" si="20"/>
        <v>15000</v>
      </c>
      <c r="F107" s="54"/>
      <c r="G107" s="53">
        <f t="shared" si="13"/>
        <v>15000</v>
      </c>
      <c r="H107" s="53">
        <v>-15000</v>
      </c>
      <c r="I107" s="69">
        <f t="shared" si="17"/>
        <v>0</v>
      </c>
      <c r="J107" s="69">
        <v>15000</v>
      </c>
      <c r="K107" s="53">
        <f t="shared" si="18"/>
        <v>15630</v>
      </c>
      <c r="L107" s="176">
        <f t="shared" si="19"/>
        <v>16317.720000000001</v>
      </c>
      <c r="O107" s="190"/>
    </row>
    <row r="108" spans="1:15" x14ac:dyDescent="0.3">
      <c r="A108" s="56" t="s">
        <v>932</v>
      </c>
      <c r="B108" s="56" t="s">
        <v>754</v>
      </c>
      <c r="C108" s="54">
        <v>30000</v>
      </c>
      <c r="D108" s="54"/>
      <c r="E108" s="54">
        <f t="shared" si="20"/>
        <v>30000</v>
      </c>
      <c r="F108" s="54"/>
      <c r="G108" s="53">
        <f t="shared" si="13"/>
        <v>30000</v>
      </c>
      <c r="H108" s="53">
        <v>-30000</v>
      </c>
      <c r="I108" s="69">
        <f t="shared" si="17"/>
        <v>0</v>
      </c>
      <c r="J108" s="69">
        <v>30000</v>
      </c>
      <c r="K108" s="53">
        <f t="shared" si="18"/>
        <v>31260</v>
      </c>
      <c r="L108" s="176">
        <f t="shared" si="19"/>
        <v>32635.440000000002</v>
      </c>
      <c r="O108" s="190"/>
    </row>
    <row r="109" spans="1:15" x14ac:dyDescent="0.3">
      <c r="A109" s="56" t="s">
        <v>933</v>
      </c>
      <c r="B109" s="56" t="s">
        <v>755</v>
      </c>
      <c r="C109" s="54">
        <v>10000</v>
      </c>
      <c r="D109" s="54"/>
      <c r="E109" s="54">
        <f t="shared" si="20"/>
        <v>10000</v>
      </c>
      <c r="F109" s="54"/>
      <c r="G109" s="53">
        <f t="shared" si="13"/>
        <v>10000</v>
      </c>
      <c r="H109" s="53">
        <v>-10000</v>
      </c>
      <c r="I109" s="69">
        <f t="shared" si="17"/>
        <v>0</v>
      </c>
      <c r="J109" s="69">
        <v>10000</v>
      </c>
      <c r="K109" s="53">
        <f t="shared" si="18"/>
        <v>10420</v>
      </c>
      <c r="L109" s="176">
        <f t="shared" si="19"/>
        <v>10878.48</v>
      </c>
      <c r="O109" s="190"/>
    </row>
    <row r="110" spans="1:15" x14ac:dyDescent="0.3">
      <c r="A110" s="56" t="s">
        <v>934</v>
      </c>
      <c r="B110" s="56" t="s">
        <v>756</v>
      </c>
      <c r="C110" s="54">
        <v>5000</v>
      </c>
      <c r="D110" s="54"/>
      <c r="E110" s="54">
        <f t="shared" si="20"/>
        <v>5000</v>
      </c>
      <c r="F110" s="54"/>
      <c r="G110" s="53">
        <f t="shared" si="13"/>
        <v>5000</v>
      </c>
      <c r="H110" s="53">
        <v>-5000</v>
      </c>
      <c r="I110" s="69">
        <f t="shared" si="17"/>
        <v>0</v>
      </c>
      <c r="J110" s="69">
        <v>5000</v>
      </c>
      <c r="K110" s="53">
        <f t="shared" si="18"/>
        <v>5210</v>
      </c>
      <c r="L110" s="176">
        <f t="shared" si="19"/>
        <v>5439.24</v>
      </c>
      <c r="O110" s="190"/>
    </row>
    <row r="111" spans="1:15" x14ac:dyDescent="0.3">
      <c r="A111" s="56"/>
      <c r="B111" s="56"/>
      <c r="C111" s="54"/>
      <c r="D111" s="54"/>
      <c r="E111" s="54">
        <f t="shared" si="20"/>
        <v>0</v>
      </c>
      <c r="F111" s="54"/>
      <c r="G111" s="53">
        <f t="shared" si="13"/>
        <v>0</v>
      </c>
      <c r="H111" s="53">
        <v>0</v>
      </c>
      <c r="I111" s="69">
        <f t="shared" si="17"/>
        <v>0</v>
      </c>
      <c r="J111" s="69"/>
      <c r="K111" s="53">
        <f t="shared" si="18"/>
        <v>0</v>
      </c>
      <c r="L111" s="176">
        <f t="shared" si="19"/>
        <v>0</v>
      </c>
      <c r="O111" s="190"/>
    </row>
    <row r="112" spans="1:15" x14ac:dyDescent="0.3">
      <c r="A112" s="56"/>
      <c r="B112" s="55" t="s">
        <v>757</v>
      </c>
      <c r="C112" s="54"/>
      <c r="D112" s="54"/>
      <c r="E112" s="54">
        <f t="shared" si="20"/>
        <v>0</v>
      </c>
      <c r="F112" s="54"/>
      <c r="G112" s="53">
        <f t="shared" si="13"/>
        <v>0</v>
      </c>
      <c r="H112" s="53">
        <v>0</v>
      </c>
      <c r="I112" s="69">
        <f t="shared" si="17"/>
        <v>0</v>
      </c>
      <c r="J112" s="69"/>
      <c r="K112" s="53">
        <f t="shared" si="18"/>
        <v>0</v>
      </c>
      <c r="L112" s="176">
        <f t="shared" si="19"/>
        <v>0</v>
      </c>
      <c r="O112" s="190"/>
    </row>
    <row r="113" spans="1:15" x14ac:dyDescent="0.3">
      <c r="A113" s="56" t="s">
        <v>948</v>
      </c>
      <c r="B113" s="56" t="s">
        <v>758</v>
      </c>
      <c r="C113" s="54">
        <v>30000</v>
      </c>
      <c r="D113" s="54"/>
      <c r="E113" s="54">
        <f t="shared" si="20"/>
        <v>30000</v>
      </c>
      <c r="F113" s="54"/>
      <c r="G113" s="53">
        <f t="shared" si="13"/>
        <v>30000</v>
      </c>
      <c r="H113" s="53">
        <v>-30000</v>
      </c>
      <c r="I113" s="69">
        <f t="shared" si="17"/>
        <v>0</v>
      </c>
      <c r="J113" s="69">
        <v>30000</v>
      </c>
      <c r="K113" s="53">
        <f t="shared" si="18"/>
        <v>31260</v>
      </c>
      <c r="L113" s="176">
        <f t="shared" si="19"/>
        <v>32635.440000000002</v>
      </c>
      <c r="O113" s="190"/>
    </row>
    <row r="114" spans="1:15" x14ac:dyDescent="0.3">
      <c r="A114" s="56" t="s">
        <v>947</v>
      </c>
      <c r="B114" s="56" t="s">
        <v>946</v>
      </c>
      <c r="C114" s="54">
        <v>30000</v>
      </c>
      <c r="D114" s="54"/>
      <c r="E114" s="54">
        <f t="shared" si="20"/>
        <v>30000</v>
      </c>
      <c r="F114" s="54"/>
      <c r="G114" s="53">
        <f t="shared" si="13"/>
        <v>30000</v>
      </c>
      <c r="H114" s="53">
        <v>-30000</v>
      </c>
      <c r="I114" s="69">
        <f t="shared" si="17"/>
        <v>0</v>
      </c>
      <c r="J114" s="69">
        <v>30000</v>
      </c>
      <c r="K114" s="53">
        <f t="shared" si="18"/>
        <v>31260</v>
      </c>
      <c r="L114" s="176">
        <f t="shared" si="19"/>
        <v>32635.440000000002</v>
      </c>
      <c r="O114" s="190"/>
    </row>
    <row r="115" spans="1:15" x14ac:dyDescent="0.3">
      <c r="A115" s="56"/>
      <c r="B115" s="56"/>
      <c r="C115" s="54"/>
      <c r="D115" s="54"/>
      <c r="E115" s="54">
        <f t="shared" si="20"/>
        <v>0</v>
      </c>
      <c r="F115" s="54"/>
      <c r="G115" s="53">
        <f t="shared" si="13"/>
        <v>0</v>
      </c>
      <c r="H115" s="53">
        <v>0</v>
      </c>
      <c r="I115" s="69">
        <f t="shared" si="17"/>
        <v>0</v>
      </c>
      <c r="J115" s="69"/>
      <c r="K115" s="53">
        <f t="shared" si="18"/>
        <v>0</v>
      </c>
      <c r="L115" s="176">
        <f t="shared" si="19"/>
        <v>0</v>
      </c>
      <c r="O115" s="190"/>
    </row>
    <row r="116" spans="1:15" x14ac:dyDescent="0.3">
      <c r="A116" s="56"/>
      <c r="B116" s="55" t="s">
        <v>759</v>
      </c>
      <c r="C116" s="54"/>
      <c r="D116" s="54"/>
      <c r="E116" s="54">
        <f t="shared" si="20"/>
        <v>0</v>
      </c>
      <c r="F116" s="54"/>
      <c r="G116" s="53">
        <f t="shared" ref="G116:G160" si="21">E116+F116</f>
        <v>0</v>
      </c>
      <c r="H116" s="53">
        <v>0</v>
      </c>
      <c r="I116" s="69">
        <f t="shared" ref="I116:I147" si="22">G116+H116</f>
        <v>0</v>
      </c>
      <c r="J116" s="69"/>
      <c r="K116" s="53">
        <f t="shared" ref="K116:K147" si="23">J116*104.2%</f>
        <v>0</v>
      </c>
      <c r="L116" s="176">
        <f t="shared" ref="L116:L147" si="24">K116*104.4%</f>
        <v>0</v>
      </c>
      <c r="O116" s="190"/>
    </row>
    <row r="117" spans="1:15" x14ac:dyDescent="0.3">
      <c r="A117" s="56" t="s">
        <v>949</v>
      </c>
      <c r="B117" s="56" t="s">
        <v>760</v>
      </c>
      <c r="C117" s="54">
        <v>20000</v>
      </c>
      <c r="D117" s="54"/>
      <c r="E117" s="54">
        <f t="shared" si="20"/>
        <v>20000</v>
      </c>
      <c r="F117" s="54"/>
      <c r="G117" s="53">
        <f t="shared" si="21"/>
        <v>20000</v>
      </c>
      <c r="H117" s="53">
        <v>-20000</v>
      </c>
      <c r="I117" s="69">
        <f t="shared" si="22"/>
        <v>0</v>
      </c>
      <c r="J117" s="69">
        <v>20000</v>
      </c>
      <c r="K117" s="53">
        <f t="shared" si="23"/>
        <v>20840</v>
      </c>
      <c r="L117" s="176">
        <f t="shared" si="24"/>
        <v>21756.959999999999</v>
      </c>
      <c r="O117" s="190"/>
    </row>
    <row r="118" spans="1:15" x14ac:dyDescent="0.3">
      <c r="A118" s="56" t="s">
        <v>950</v>
      </c>
      <c r="B118" s="56" t="s">
        <v>951</v>
      </c>
      <c r="C118" s="54">
        <v>20000</v>
      </c>
      <c r="D118" s="54"/>
      <c r="E118" s="54">
        <f t="shared" si="20"/>
        <v>20000</v>
      </c>
      <c r="F118" s="54"/>
      <c r="G118" s="53">
        <f t="shared" si="21"/>
        <v>20000</v>
      </c>
      <c r="H118" s="53">
        <v>-20000</v>
      </c>
      <c r="I118" s="69">
        <f t="shared" si="22"/>
        <v>0</v>
      </c>
      <c r="J118" s="69">
        <v>20000</v>
      </c>
      <c r="K118" s="53">
        <f t="shared" si="23"/>
        <v>20840</v>
      </c>
      <c r="L118" s="176">
        <f t="shared" si="24"/>
        <v>21756.959999999999</v>
      </c>
      <c r="O118" s="190"/>
    </row>
    <row r="119" spans="1:15" x14ac:dyDescent="0.3">
      <c r="A119" s="56"/>
      <c r="B119" s="56"/>
      <c r="C119" s="54"/>
      <c r="D119" s="54"/>
      <c r="E119" s="54">
        <f t="shared" si="20"/>
        <v>0</v>
      </c>
      <c r="F119" s="54"/>
      <c r="G119" s="53">
        <f t="shared" si="21"/>
        <v>0</v>
      </c>
      <c r="H119" s="53">
        <v>0</v>
      </c>
      <c r="I119" s="69">
        <f t="shared" si="22"/>
        <v>0</v>
      </c>
      <c r="J119" s="69"/>
      <c r="K119" s="53">
        <f t="shared" si="23"/>
        <v>0</v>
      </c>
      <c r="L119" s="176">
        <f t="shared" si="24"/>
        <v>0</v>
      </c>
      <c r="O119" s="190"/>
    </row>
    <row r="120" spans="1:15" x14ac:dyDescent="0.3">
      <c r="A120" s="56"/>
      <c r="B120" s="55" t="s">
        <v>761</v>
      </c>
      <c r="C120" s="54"/>
      <c r="D120" s="54"/>
      <c r="E120" s="54">
        <f t="shared" si="20"/>
        <v>0</v>
      </c>
      <c r="F120" s="54"/>
      <c r="G120" s="53">
        <f t="shared" si="21"/>
        <v>0</v>
      </c>
      <c r="H120" s="53">
        <v>0</v>
      </c>
      <c r="I120" s="69">
        <f t="shared" si="22"/>
        <v>0</v>
      </c>
      <c r="J120" s="69"/>
      <c r="K120" s="53">
        <f t="shared" si="23"/>
        <v>0</v>
      </c>
      <c r="L120" s="176">
        <f t="shared" si="24"/>
        <v>0</v>
      </c>
      <c r="O120" s="190"/>
    </row>
    <row r="121" spans="1:15" x14ac:dyDescent="0.3">
      <c r="A121" s="56" t="s">
        <v>955</v>
      </c>
      <c r="B121" s="56" t="s">
        <v>952</v>
      </c>
      <c r="C121" s="54">
        <v>60000</v>
      </c>
      <c r="D121" s="54"/>
      <c r="E121" s="54">
        <f t="shared" si="20"/>
        <v>60000</v>
      </c>
      <c r="F121" s="54"/>
      <c r="G121" s="53">
        <f t="shared" si="21"/>
        <v>60000</v>
      </c>
      <c r="H121" s="53">
        <v>-501</v>
      </c>
      <c r="I121" s="69">
        <f t="shared" si="22"/>
        <v>59499</v>
      </c>
      <c r="J121" s="69">
        <v>60000</v>
      </c>
      <c r="K121" s="53">
        <f t="shared" si="23"/>
        <v>62520</v>
      </c>
      <c r="L121" s="176">
        <f t="shared" si="24"/>
        <v>65270.880000000005</v>
      </c>
      <c r="O121" s="190"/>
    </row>
    <row r="122" spans="1:15" x14ac:dyDescent="0.3">
      <c r="A122" s="56" t="s">
        <v>954</v>
      </c>
      <c r="B122" s="56" t="s">
        <v>953</v>
      </c>
      <c r="C122" s="54">
        <v>30000</v>
      </c>
      <c r="D122" s="54"/>
      <c r="E122" s="54">
        <f t="shared" si="20"/>
        <v>30000</v>
      </c>
      <c r="F122" s="54"/>
      <c r="G122" s="53">
        <f t="shared" si="21"/>
        <v>30000</v>
      </c>
      <c r="H122" s="53">
        <v>8469.5999999999985</v>
      </c>
      <c r="I122" s="69">
        <f t="shared" si="22"/>
        <v>38469.599999999999</v>
      </c>
      <c r="J122" s="69">
        <v>30000</v>
      </c>
      <c r="K122" s="53">
        <f t="shared" si="23"/>
        <v>31260</v>
      </c>
      <c r="L122" s="176">
        <f t="shared" si="24"/>
        <v>32635.440000000002</v>
      </c>
      <c r="O122" s="190"/>
    </row>
    <row r="123" spans="1:15" x14ac:dyDescent="0.3">
      <c r="A123" s="56"/>
      <c r="B123" s="56"/>
      <c r="C123" s="54"/>
      <c r="D123" s="54"/>
      <c r="E123" s="54">
        <f t="shared" si="20"/>
        <v>0</v>
      </c>
      <c r="F123" s="54"/>
      <c r="G123" s="53">
        <f t="shared" si="21"/>
        <v>0</v>
      </c>
      <c r="H123" s="53">
        <v>0</v>
      </c>
      <c r="I123" s="69">
        <f t="shared" si="22"/>
        <v>0</v>
      </c>
      <c r="J123" s="69"/>
      <c r="K123" s="53">
        <f t="shared" si="23"/>
        <v>0</v>
      </c>
      <c r="L123" s="176">
        <f t="shared" si="24"/>
        <v>0</v>
      </c>
      <c r="O123" s="190"/>
    </row>
    <row r="124" spans="1:15" x14ac:dyDescent="0.3">
      <c r="A124" s="56"/>
      <c r="B124" s="55" t="s">
        <v>762</v>
      </c>
      <c r="C124" s="54"/>
      <c r="D124" s="54"/>
      <c r="E124" s="54">
        <f t="shared" si="20"/>
        <v>0</v>
      </c>
      <c r="F124" s="54"/>
      <c r="G124" s="53">
        <f t="shared" si="21"/>
        <v>0</v>
      </c>
      <c r="H124" s="53">
        <v>0</v>
      </c>
      <c r="I124" s="69">
        <f t="shared" si="22"/>
        <v>0</v>
      </c>
      <c r="J124" s="69"/>
      <c r="K124" s="53">
        <f t="shared" si="23"/>
        <v>0</v>
      </c>
      <c r="L124" s="176">
        <f t="shared" si="24"/>
        <v>0</v>
      </c>
      <c r="O124" s="190"/>
    </row>
    <row r="125" spans="1:15" x14ac:dyDescent="0.3">
      <c r="A125" s="56" t="s">
        <v>957</v>
      </c>
      <c r="B125" s="56" t="s">
        <v>956</v>
      </c>
      <c r="C125" s="54">
        <v>50000</v>
      </c>
      <c r="D125" s="54"/>
      <c r="E125" s="54">
        <f t="shared" si="20"/>
        <v>50000</v>
      </c>
      <c r="F125" s="54"/>
      <c r="G125" s="53">
        <f t="shared" si="21"/>
        <v>50000</v>
      </c>
      <c r="H125" s="53">
        <v>-50000</v>
      </c>
      <c r="I125" s="69">
        <f t="shared" si="22"/>
        <v>0</v>
      </c>
      <c r="J125" s="69">
        <v>50000</v>
      </c>
      <c r="K125" s="53">
        <f t="shared" si="23"/>
        <v>52100</v>
      </c>
      <c r="L125" s="176">
        <f t="shared" si="24"/>
        <v>54392.4</v>
      </c>
      <c r="O125" s="190"/>
    </row>
    <row r="126" spans="1:15" x14ac:dyDescent="0.3">
      <c r="A126" s="56"/>
      <c r="B126" s="56"/>
      <c r="C126" s="54"/>
      <c r="D126" s="54"/>
      <c r="E126" s="54">
        <f t="shared" si="20"/>
        <v>0</v>
      </c>
      <c r="F126" s="54"/>
      <c r="G126" s="53">
        <f t="shared" si="21"/>
        <v>0</v>
      </c>
      <c r="H126" s="53"/>
      <c r="I126" s="69">
        <f t="shared" si="22"/>
        <v>0</v>
      </c>
      <c r="J126" s="69"/>
      <c r="K126" s="53">
        <f t="shared" si="23"/>
        <v>0</v>
      </c>
      <c r="L126" s="176">
        <f t="shared" si="24"/>
        <v>0</v>
      </c>
      <c r="O126" s="190"/>
    </row>
    <row r="127" spans="1:15" x14ac:dyDescent="0.3">
      <c r="A127" s="56" t="s">
        <v>960</v>
      </c>
      <c r="B127" s="56" t="s">
        <v>763</v>
      </c>
      <c r="C127" s="54">
        <v>100000</v>
      </c>
      <c r="D127" s="54"/>
      <c r="E127" s="54">
        <f t="shared" si="20"/>
        <v>100000</v>
      </c>
      <c r="F127" s="54"/>
      <c r="G127" s="53">
        <f t="shared" si="21"/>
        <v>100000</v>
      </c>
      <c r="H127" s="53">
        <v>200000</v>
      </c>
      <c r="I127" s="69">
        <f t="shared" si="22"/>
        <v>300000</v>
      </c>
      <c r="J127" s="69">
        <v>100000</v>
      </c>
      <c r="K127" s="53">
        <f t="shared" si="23"/>
        <v>104200</v>
      </c>
      <c r="L127" s="176">
        <f t="shared" si="24"/>
        <v>108784.8</v>
      </c>
      <c r="O127" s="190"/>
    </row>
    <row r="128" spans="1:15" x14ac:dyDescent="0.3">
      <c r="A128" s="56"/>
      <c r="B128" s="56"/>
      <c r="C128" s="54"/>
      <c r="D128" s="54"/>
      <c r="E128" s="54">
        <f t="shared" si="20"/>
        <v>0</v>
      </c>
      <c r="F128" s="54"/>
      <c r="G128" s="53">
        <f t="shared" si="21"/>
        <v>0</v>
      </c>
      <c r="H128" s="53"/>
      <c r="I128" s="69">
        <f t="shared" si="22"/>
        <v>0</v>
      </c>
      <c r="J128" s="69"/>
      <c r="K128" s="53">
        <f t="shared" si="23"/>
        <v>0</v>
      </c>
      <c r="L128" s="176">
        <f t="shared" si="24"/>
        <v>0</v>
      </c>
      <c r="O128" s="190"/>
    </row>
    <row r="129" spans="1:15" x14ac:dyDescent="0.3">
      <c r="A129" s="56"/>
      <c r="B129" s="55" t="s">
        <v>764</v>
      </c>
      <c r="C129" s="54"/>
      <c r="D129" s="54"/>
      <c r="E129" s="54">
        <f t="shared" si="20"/>
        <v>0</v>
      </c>
      <c r="F129" s="54"/>
      <c r="G129" s="53">
        <f t="shared" si="21"/>
        <v>0</v>
      </c>
      <c r="H129" s="53"/>
      <c r="I129" s="69">
        <f t="shared" si="22"/>
        <v>0</v>
      </c>
      <c r="J129" s="69"/>
      <c r="K129" s="53">
        <f t="shared" si="23"/>
        <v>0</v>
      </c>
      <c r="L129" s="176">
        <f t="shared" si="24"/>
        <v>0</v>
      </c>
      <c r="O129" s="190"/>
    </row>
    <row r="130" spans="1:15" x14ac:dyDescent="0.3">
      <c r="A130" s="56"/>
      <c r="B130" s="55" t="s">
        <v>765</v>
      </c>
      <c r="C130" s="54"/>
      <c r="D130" s="54"/>
      <c r="E130" s="54">
        <f t="shared" si="20"/>
        <v>0</v>
      </c>
      <c r="F130" s="54"/>
      <c r="G130" s="53">
        <f t="shared" si="21"/>
        <v>0</v>
      </c>
      <c r="H130" s="53"/>
      <c r="I130" s="69">
        <f t="shared" si="22"/>
        <v>0</v>
      </c>
      <c r="J130" s="69"/>
      <c r="K130" s="53">
        <f t="shared" si="23"/>
        <v>0</v>
      </c>
      <c r="L130" s="176">
        <f t="shared" si="24"/>
        <v>0</v>
      </c>
      <c r="O130" s="190"/>
    </row>
    <row r="131" spans="1:15" x14ac:dyDescent="0.3">
      <c r="A131" s="56" t="s">
        <v>963</v>
      </c>
      <c r="B131" s="56" t="s">
        <v>959</v>
      </c>
      <c r="C131" s="54">
        <v>400000</v>
      </c>
      <c r="D131" s="54"/>
      <c r="E131" s="54">
        <f t="shared" si="20"/>
        <v>400000</v>
      </c>
      <c r="F131" s="54"/>
      <c r="G131" s="53">
        <f t="shared" si="21"/>
        <v>400000</v>
      </c>
      <c r="H131" s="53"/>
      <c r="I131" s="69">
        <f t="shared" si="22"/>
        <v>400000</v>
      </c>
      <c r="J131" s="69">
        <v>350000</v>
      </c>
      <c r="K131" s="53">
        <f t="shared" si="23"/>
        <v>364700</v>
      </c>
      <c r="L131" s="176">
        <f t="shared" si="24"/>
        <v>380746.8</v>
      </c>
      <c r="O131" s="190"/>
    </row>
    <row r="132" spans="1:15" x14ac:dyDescent="0.3">
      <c r="A132" s="56" t="s">
        <v>962</v>
      </c>
      <c r="B132" s="56" t="s">
        <v>766</v>
      </c>
      <c r="C132" s="54">
        <v>70000</v>
      </c>
      <c r="D132" s="54"/>
      <c r="E132" s="54">
        <f t="shared" si="20"/>
        <v>70000</v>
      </c>
      <c r="F132" s="54"/>
      <c r="G132" s="53">
        <f t="shared" si="21"/>
        <v>70000</v>
      </c>
      <c r="H132" s="53">
        <v>-13500</v>
      </c>
      <c r="I132" s="69">
        <f t="shared" si="22"/>
        <v>56500</v>
      </c>
      <c r="J132" s="69">
        <v>70000</v>
      </c>
      <c r="K132" s="53">
        <f t="shared" si="23"/>
        <v>72940</v>
      </c>
      <c r="L132" s="176">
        <f t="shared" si="24"/>
        <v>76149.36</v>
      </c>
      <c r="O132" s="190"/>
    </row>
    <row r="133" spans="1:15" x14ac:dyDescent="0.3">
      <c r="A133" s="56" t="s">
        <v>961</v>
      </c>
      <c r="B133" s="56" t="s">
        <v>767</v>
      </c>
      <c r="C133" s="54">
        <v>30000</v>
      </c>
      <c r="D133" s="54"/>
      <c r="E133" s="54">
        <f t="shared" si="20"/>
        <v>30000</v>
      </c>
      <c r="F133" s="54"/>
      <c r="G133" s="53">
        <f t="shared" si="21"/>
        <v>30000</v>
      </c>
      <c r="H133" s="53">
        <v>4725</v>
      </c>
      <c r="I133" s="69">
        <f t="shared" si="22"/>
        <v>34725</v>
      </c>
      <c r="J133" s="69">
        <v>30000</v>
      </c>
      <c r="K133" s="53">
        <f t="shared" si="23"/>
        <v>31260</v>
      </c>
      <c r="L133" s="176">
        <f t="shared" si="24"/>
        <v>32635.440000000002</v>
      </c>
      <c r="O133" s="190"/>
    </row>
    <row r="134" spans="1:15" x14ac:dyDescent="0.3">
      <c r="A134" s="56"/>
      <c r="B134" s="55" t="s">
        <v>958</v>
      </c>
      <c r="C134" s="54"/>
      <c r="D134" s="54"/>
      <c r="E134" s="54">
        <f t="shared" si="20"/>
        <v>0</v>
      </c>
      <c r="F134" s="54"/>
      <c r="G134" s="53">
        <f t="shared" si="21"/>
        <v>0</v>
      </c>
      <c r="H134" s="53">
        <v>0</v>
      </c>
      <c r="I134" s="69">
        <f t="shared" si="22"/>
        <v>0</v>
      </c>
      <c r="J134" s="69"/>
      <c r="K134" s="53">
        <f t="shared" si="23"/>
        <v>0</v>
      </c>
      <c r="L134" s="176">
        <f t="shared" si="24"/>
        <v>0</v>
      </c>
      <c r="O134" s="190"/>
    </row>
    <row r="135" spans="1:15" x14ac:dyDescent="0.3">
      <c r="A135" s="56" t="s">
        <v>965</v>
      </c>
      <c r="B135" s="56" t="s">
        <v>768</v>
      </c>
      <c r="C135" s="54">
        <v>70000</v>
      </c>
      <c r="D135" s="54"/>
      <c r="E135" s="54">
        <f t="shared" si="20"/>
        <v>70000</v>
      </c>
      <c r="F135" s="54"/>
      <c r="G135" s="53">
        <f t="shared" si="21"/>
        <v>70000</v>
      </c>
      <c r="H135" s="53">
        <v>-52000</v>
      </c>
      <c r="I135" s="69">
        <f t="shared" si="22"/>
        <v>18000</v>
      </c>
      <c r="J135" s="69">
        <v>70000</v>
      </c>
      <c r="K135" s="53">
        <f t="shared" si="23"/>
        <v>72940</v>
      </c>
      <c r="L135" s="176">
        <f t="shared" si="24"/>
        <v>76149.36</v>
      </c>
      <c r="O135" s="190"/>
    </row>
    <row r="136" spans="1:15" x14ac:dyDescent="0.3">
      <c r="A136" s="56" t="s">
        <v>966</v>
      </c>
      <c r="B136" s="56" t="s">
        <v>769</v>
      </c>
      <c r="C136" s="54">
        <v>20000</v>
      </c>
      <c r="D136" s="54"/>
      <c r="E136" s="54">
        <f t="shared" si="20"/>
        <v>20000</v>
      </c>
      <c r="F136" s="54"/>
      <c r="G136" s="53">
        <f t="shared" si="21"/>
        <v>20000</v>
      </c>
      <c r="H136" s="53">
        <v>1680</v>
      </c>
      <c r="I136" s="69">
        <f t="shared" si="22"/>
        <v>21680</v>
      </c>
      <c r="J136" s="69">
        <v>20000</v>
      </c>
      <c r="K136" s="53">
        <f t="shared" si="23"/>
        <v>20840</v>
      </c>
      <c r="L136" s="176">
        <f t="shared" si="24"/>
        <v>21756.959999999999</v>
      </c>
      <c r="O136" s="190"/>
    </row>
    <row r="137" spans="1:15" x14ac:dyDescent="0.3">
      <c r="A137" s="56" t="s">
        <v>964</v>
      </c>
      <c r="B137" s="56" t="s">
        <v>770</v>
      </c>
      <c r="C137" s="54">
        <v>50000</v>
      </c>
      <c r="D137" s="54"/>
      <c r="E137" s="54">
        <f t="shared" si="20"/>
        <v>50000</v>
      </c>
      <c r="F137" s="54"/>
      <c r="G137" s="53">
        <f t="shared" si="21"/>
        <v>50000</v>
      </c>
      <c r="H137" s="53">
        <v>-5200</v>
      </c>
      <c r="I137" s="69">
        <f t="shared" si="22"/>
        <v>44800</v>
      </c>
      <c r="J137" s="69">
        <v>30000</v>
      </c>
      <c r="K137" s="53">
        <f t="shared" si="23"/>
        <v>31260</v>
      </c>
      <c r="L137" s="176">
        <f t="shared" si="24"/>
        <v>32635.440000000002</v>
      </c>
      <c r="O137" s="190"/>
    </row>
    <row r="138" spans="1:15" x14ac:dyDescent="0.3">
      <c r="A138" s="56" t="s">
        <v>967</v>
      </c>
      <c r="B138" s="56" t="s">
        <v>771</v>
      </c>
      <c r="C138" s="54">
        <v>15000</v>
      </c>
      <c r="D138" s="54"/>
      <c r="E138" s="54">
        <f t="shared" si="20"/>
        <v>15000</v>
      </c>
      <c r="F138" s="54"/>
      <c r="G138" s="53">
        <f t="shared" si="21"/>
        <v>15000</v>
      </c>
      <c r="H138" s="53">
        <v>-500</v>
      </c>
      <c r="I138" s="69">
        <f t="shared" si="22"/>
        <v>14500</v>
      </c>
      <c r="J138" s="69">
        <v>15000</v>
      </c>
      <c r="K138" s="53">
        <f t="shared" si="23"/>
        <v>15630</v>
      </c>
      <c r="L138" s="176">
        <f t="shared" si="24"/>
        <v>16317.720000000001</v>
      </c>
      <c r="O138" s="190"/>
    </row>
    <row r="139" spans="1:15" x14ac:dyDescent="0.3">
      <c r="A139" s="56" t="s">
        <v>968</v>
      </c>
      <c r="B139" s="56" t="s">
        <v>772</v>
      </c>
      <c r="C139" s="54">
        <v>5000</v>
      </c>
      <c r="D139" s="54"/>
      <c r="E139" s="54">
        <f t="shared" si="20"/>
        <v>5000</v>
      </c>
      <c r="F139" s="54"/>
      <c r="G139" s="53">
        <f t="shared" si="21"/>
        <v>5000</v>
      </c>
      <c r="H139" s="53">
        <v>-5000</v>
      </c>
      <c r="I139" s="69">
        <f t="shared" si="22"/>
        <v>0</v>
      </c>
      <c r="J139" s="69">
        <v>5000</v>
      </c>
      <c r="K139" s="53">
        <f t="shared" si="23"/>
        <v>5210</v>
      </c>
      <c r="L139" s="176">
        <f t="shared" si="24"/>
        <v>5439.24</v>
      </c>
      <c r="O139" s="190"/>
    </row>
    <row r="140" spans="1:15" ht="16.5" customHeight="1" x14ac:dyDescent="0.3">
      <c r="A140" s="56" t="s">
        <v>969</v>
      </c>
      <c r="B140" s="56" t="s">
        <v>773</v>
      </c>
      <c r="C140" s="54">
        <v>30000</v>
      </c>
      <c r="D140" s="54"/>
      <c r="E140" s="54">
        <f t="shared" si="20"/>
        <v>30000</v>
      </c>
      <c r="F140" s="54"/>
      <c r="G140" s="53">
        <f t="shared" si="21"/>
        <v>30000</v>
      </c>
      <c r="H140" s="53">
        <v>-19873</v>
      </c>
      <c r="I140" s="69">
        <f t="shared" si="22"/>
        <v>10127</v>
      </c>
      <c r="J140" s="69">
        <v>30000</v>
      </c>
      <c r="K140" s="53">
        <f t="shared" si="23"/>
        <v>31260</v>
      </c>
      <c r="L140" s="176">
        <f t="shared" si="24"/>
        <v>32635.440000000002</v>
      </c>
      <c r="O140" s="190"/>
    </row>
    <row r="141" spans="1:15" x14ac:dyDescent="0.3">
      <c r="A141" s="56"/>
      <c r="B141" s="55" t="s">
        <v>971</v>
      </c>
      <c r="C141" s="54"/>
      <c r="D141" s="54"/>
      <c r="E141" s="54">
        <f t="shared" si="20"/>
        <v>0</v>
      </c>
      <c r="F141" s="54"/>
      <c r="G141" s="53">
        <f t="shared" si="21"/>
        <v>0</v>
      </c>
      <c r="H141" s="53">
        <v>0</v>
      </c>
      <c r="I141" s="69">
        <f t="shared" si="22"/>
        <v>0</v>
      </c>
      <c r="J141" s="69"/>
      <c r="K141" s="53">
        <f t="shared" si="23"/>
        <v>0</v>
      </c>
      <c r="L141" s="176">
        <f t="shared" si="24"/>
        <v>0</v>
      </c>
      <c r="O141" s="190"/>
    </row>
    <row r="142" spans="1:15" x14ac:dyDescent="0.3">
      <c r="A142" s="56" t="s">
        <v>973</v>
      </c>
      <c r="B142" s="56" t="s">
        <v>774</v>
      </c>
      <c r="C142" s="54">
        <v>100000</v>
      </c>
      <c r="D142" s="54"/>
      <c r="E142" s="54">
        <f t="shared" si="20"/>
        <v>100000</v>
      </c>
      <c r="F142" s="54"/>
      <c r="G142" s="53">
        <f t="shared" si="21"/>
        <v>100000</v>
      </c>
      <c r="H142" s="53">
        <v>-100000</v>
      </c>
      <c r="I142" s="69">
        <f t="shared" si="22"/>
        <v>0</v>
      </c>
      <c r="J142" s="69">
        <v>60000</v>
      </c>
      <c r="K142" s="53">
        <f t="shared" si="23"/>
        <v>62520</v>
      </c>
      <c r="L142" s="176">
        <f t="shared" si="24"/>
        <v>65270.880000000005</v>
      </c>
      <c r="O142" s="190"/>
    </row>
    <row r="143" spans="1:15" x14ac:dyDescent="0.3">
      <c r="A143" s="56" t="s">
        <v>974</v>
      </c>
      <c r="B143" s="56" t="s">
        <v>775</v>
      </c>
      <c r="C143" s="54">
        <v>85000</v>
      </c>
      <c r="D143" s="54"/>
      <c r="E143" s="54">
        <f t="shared" si="20"/>
        <v>85000</v>
      </c>
      <c r="F143" s="54"/>
      <c r="G143" s="53">
        <f t="shared" si="21"/>
        <v>85000</v>
      </c>
      <c r="H143" s="53">
        <v>-85000</v>
      </c>
      <c r="I143" s="69">
        <f t="shared" si="22"/>
        <v>0</v>
      </c>
      <c r="J143" s="69">
        <v>50000</v>
      </c>
      <c r="K143" s="53">
        <f t="shared" si="23"/>
        <v>52100</v>
      </c>
      <c r="L143" s="176">
        <f t="shared" si="24"/>
        <v>54392.4</v>
      </c>
      <c r="O143" s="190"/>
    </row>
    <row r="144" spans="1:15" x14ac:dyDescent="0.3">
      <c r="A144" s="56" t="s">
        <v>972</v>
      </c>
      <c r="B144" s="56" t="s">
        <v>970</v>
      </c>
      <c r="C144" s="54">
        <v>400000</v>
      </c>
      <c r="D144" s="54"/>
      <c r="E144" s="54">
        <f t="shared" si="20"/>
        <v>400000</v>
      </c>
      <c r="F144" s="54"/>
      <c r="G144" s="53">
        <f t="shared" si="21"/>
        <v>400000</v>
      </c>
      <c r="H144" s="53"/>
      <c r="I144" s="69">
        <f t="shared" si="22"/>
        <v>400000</v>
      </c>
      <c r="J144" s="69">
        <v>400000</v>
      </c>
      <c r="K144" s="53">
        <f t="shared" si="23"/>
        <v>416800</v>
      </c>
      <c r="L144" s="176">
        <f t="shared" si="24"/>
        <v>435139.2</v>
      </c>
      <c r="O144" s="190"/>
    </row>
    <row r="145" spans="1:15" x14ac:dyDescent="0.3">
      <c r="A145" s="56"/>
      <c r="B145" s="56"/>
      <c r="C145" s="54"/>
      <c r="D145" s="54"/>
      <c r="E145" s="54">
        <f t="shared" si="20"/>
        <v>0</v>
      </c>
      <c r="F145" s="54"/>
      <c r="G145" s="53">
        <f t="shared" si="21"/>
        <v>0</v>
      </c>
      <c r="H145" s="53"/>
      <c r="I145" s="69">
        <f t="shared" si="22"/>
        <v>0</v>
      </c>
      <c r="J145" s="69"/>
      <c r="K145" s="53">
        <f t="shared" si="23"/>
        <v>0</v>
      </c>
      <c r="L145" s="176">
        <f t="shared" si="24"/>
        <v>0</v>
      </c>
      <c r="O145" s="190"/>
    </row>
    <row r="146" spans="1:15" x14ac:dyDescent="0.3">
      <c r="A146" s="56"/>
      <c r="B146" s="55" t="s">
        <v>776</v>
      </c>
      <c r="C146" s="54"/>
      <c r="D146" s="54"/>
      <c r="E146" s="54">
        <f t="shared" si="20"/>
        <v>0</v>
      </c>
      <c r="F146" s="54"/>
      <c r="G146" s="53">
        <f t="shared" si="21"/>
        <v>0</v>
      </c>
      <c r="H146" s="53"/>
      <c r="I146" s="69">
        <f t="shared" si="22"/>
        <v>0</v>
      </c>
      <c r="J146" s="69"/>
      <c r="K146" s="53">
        <f t="shared" si="23"/>
        <v>0</v>
      </c>
      <c r="L146" s="176">
        <f t="shared" si="24"/>
        <v>0</v>
      </c>
      <c r="O146" s="190"/>
    </row>
    <row r="147" spans="1:15" x14ac:dyDescent="0.3">
      <c r="A147" s="56" t="s">
        <v>1321</v>
      </c>
      <c r="B147" s="56" t="s">
        <v>983</v>
      </c>
      <c r="C147" s="54">
        <f>30000+30000</f>
        <v>60000</v>
      </c>
      <c r="D147" s="54"/>
      <c r="E147" s="54">
        <f t="shared" si="20"/>
        <v>60000</v>
      </c>
      <c r="F147" s="54"/>
      <c r="G147" s="53">
        <f t="shared" si="21"/>
        <v>60000</v>
      </c>
      <c r="H147" s="53">
        <v>-555</v>
      </c>
      <c r="I147" s="69">
        <f t="shared" si="22"/>
        <v>59445</v>
      </c>
      <c r="J147" s="69">
        <v>60000</v>
      </c>
      <c r="K147" s="53">
        <f t="shared" si="23"/>
        <v>62520</v>
      </c>
      <c r="L147" s="176">
        <f t="shared" si="24"/>
        <v>65270.880000000005</v>
      </c>
      <c r="O147" s="190"/>
    </row>
    <row r="148" spans="1:15" x14ac:dyDescent="0.3">
      <c r="A148" s="56" t="s">
        <v>984</v>
      </c>
      <c r="B148" s="56" t="s">
        <v>975</v>
      </c>
      <c r="C148" s="54">
        <v>70000</v>
      </c>
      <c r="D148" s="54"/>
      <c r="E148" s="54">
        <f t="shared" si="20"/>
        <v>70000</v>
      </c>
      <c r="F148" s="54"/>
      <c r="G148" s="53">
        <f t="shared" si="21"/>
        <v>70000</v>
      </c>
      <c r="H148" s="53">
        <v>-10300</v>
      </c>
      <c r="I148" s="69">
        <f t="shared" ref="I148:I160" si="25">G148+H148</f>
        <v>59700</v>
      </c>
      <c r="J148" s="69">
        <v>70000</v>
      </c>
      <c r="K148" s="53">
        <f t="shared" ref="K148:K179" si="26">J148*104.2%</f>
        <v>72940</v>
      </c>
      <c r="L148" s="176">
        <f t="shared" ref="L148:L179" si="27">K148*104.4%</f>
        <v>76149.36</v>
      </c>
      <c r="O148" s="190"/>
    </row>
    <row r="149" spans="1:15" x14ac:dyDescent="0.3">
      <c r="A149" s="56" t="s">
        <v>982</v>
      </c>
      <c r="B149" s="56" t="s">
        <v>976</v>
      </c>
      <c r="C149" s="54">
        <v>65000</v>
      </c>
      <c r="D149" s="54"/>
      <c r="E149" s="54">
        <f t="shared" ref="E149:E240" si="28">C149+D149</f>
        <v>65000</v>
      </c>
      <c r="F149" s="54"/>
      <c r="G149" s="53">
        <f t="shared" si="21"/>
        <v>65000</v>
      </c>
      <c r="H149" s="53">
        <v>-3600</v>
      </c>
      <c r="I149" s="69">
        <f t="shared" si="25"/>
        <v>61400</v>
      </c>
      <c r="J149" s="69">
        <v>40000</v>
      </c>
      <c r="K149" s="53">
        <f t="shared" si="26"/>
        <v>41680</v>
      </c>
      <c r="L149" s="176">
        <f t="shared" si="27"/>
        <v>43513.919999999998</v>
      </c>
      <c r="O149" s="190"/>
    </row>
    <row r="150" spans="1:15" x14ac:dyDescent="0.3">
      <c r="A150" s="56" t="s">
        <v>985</v>
      </c>
      <c r="B150" s="56" t="s">
        <v>977</v>
      </c>
      <c r="C150" s="54">
        <v>20000</v>
      </c>
      <c r="D150" s="54"/>
      <c r="E150" s="54">
        <f t="shared" si="28"/>
        <v>20000</v>
      </c>
      <c r="F150" s="54"/>
      <c r="G150" s="53">
        <f t="shared" si="21"/>
        <v>20000</v>
      </c>
      <c r="H150" s="53">
        <v>-500</v>
      </c>
      <c r="I150" s="69">
        <f t="shared" si="25"/>
        <v>19500</v>
      </c>
      <c r="J150" s="69">
        <v>20000</v>
      </c>
      <c r="K150" s="53">
        <f t="shared" si="26"/>
        <v>20840</v>
      </c>
      <c r="L150" s="176">
        <f t="shared" si="27"/>
        <v>21756.959999999999</v>
      </c>
      <c r="O150" s="190"/>
    </row>
    <row r="151" spans="1:15" x14ac:dyDescent="0.3">
      <c r="A151" s="56" t="s">
        <v>986</v>
      </c>
      <c r="B151" s="56" t="s">
        <v>978</v>
      </c>
      <c r="C151" s="54">
        <v>10000</v>
      </c>
      <c r="D151" s="54"/>
      <c r="E151" s="54">
        <f t="shared" si="28"/>
        <v>10000</v>
      </c>
      <c r="F151" s="54"/>
      <c r="G151" s="53">
        <f t="shared" si="21"/>
        <v>10000</v>
      </c>
      <c r="H151" s="53">
        <v>-2173.91</v>
      </c>
      <c r="I151" s="69">
        <f t="shared" si="25"/>
        <v>7826.09</v>
      </c>
      <c r="J151" s="69">
        <v>10000</v>
      </c>
      <c r="K151" s="53">
        <f t="shared" si="26"/>
        <v>10420</v>
      </c>
      <c r="L151" s="176">
        <f t="shared" si="27"/>
        <v>10878.48</v>
      </c>
      <c r="O151" s="190"/>
    </row>
    <row r="152" spans="1:15" x14ac:dyDescent="0.3">
      <c r="A152" s="56" t="s">
        <v>987</v>
      </c>
      <c r="B152" s="56" t="s">
        <v>979</v>
      </c>
      <c r="C152" s="54">
        <v>80000</v>
      </c>
      <c r="D152" s="54"/>
      <c r="E152" s="54">
        <f t="shared" si="28"/>
        <v>80000</v>
      </c>
      <c r="F152" s="54"/>
      <c r="G152" s="53">
        <f t="shared" si="21"/>
        <v>80000</v>
      </c>
      <c r="H152" s="53">
        <v>5000</v>
      </c>
      <c r="I152" s="69">
        <f t="shared" si="25"/>
        <v>85000</v>
      </c>
      <c r="J152" s="69">
        <v>50000</v>
      </c>
      <c r="K152" s="53">
        <f t="shared" si="26"/>
        <v>52100</v>
      </c>
      <c r="L152" s="176">
        <f t="shared" si="27"/>
        <v>54392.4</v>
      </c>
      <c r="O152" s="190"/>
    </row>
    <row r="153" spans="1:15" x14ac:dyDescent="0.3">
      <c r="A153" s="52" t="s">
        <v>988</v>
      </c>
      <c r="B153" s="52" t="s">
        <v>980</v>
      </c>
      <c r="C153" s="54">
        <v>30000</v>
      </c>
      <c r="D153" s="54"/>
      <c r="E153" s="54">
        <f t="shared" si="28"/>
        <v>30000</v>
      </c>
      <c r="F153" s="54"/>
      <c r="G153" s="53">
        <f t="shared" si="21"/>
        <v>30000</v>
      </c>
      <c r="H153" s="53">
        <v>-1450</v>
      </c>
      <c r="I153" s="69">
        <f t="shared" si="25"/>
        <v>28550</v>
      </c>
      <c r="J153" s="69">
        <v>30000</v>
      </c>
      <c r="K153" s="53">
        <f t="shared" si="26"/>
        <v>31260</v>
      </c>
      <c r="L153" s="176">
        <f t="shared" si="27"/>
        <v>32635.440000000002</v>
      </c>
      <c r="O153" s="190"/>
    </row>
    <row r="154" spans="1:15" x14ac:dyDescent="0.3">
      <c r="A154" s="52" t="s">
        <v>989</v>
      </c>
      <c r="B154" s="52" t="s">
        <v>981</v>
      </c>
      <c r="C154" s="54">
        <v>70000</v>
      </c>
      <c r="D154" s="54"/>
      <c r="E154" s="54">
        <f t="shared" si="28"/>
        <v>70000</v>
      </c>
      <c r="F154" s="54"/>
      <c r="G154" s="53">
        <f t="shared" si="21"/>
        <v>70000</v>
      </c>
      <c r="H154" s="53"/>
      <c r="I154" s="69">
        <f t="shared" si="25"/>
        <v>70000</v>
      </c>
      <c r="J154" s="69">
        <v>0</v>
      </c>
      <c r="K154" s="53">
        <f t="shared" si="26"/>
        <v>0</v>
      </c>
      <c r="L154" s="176">
        <f t="shared" si="27"/>
        <v>0</v>
      </c>
      <c r="O154" s="190"/>
    </row>
    <row r="155" spans="1:15" x14ac:dyDescent="0.3">
      <c r="A155" s="52"/>
      <c r="B155" s="52"/>
      <c r="C155" s="54"/>
      <c r="D155" s="54"/>
      <c r="E155" s="54">
        <f t="shared" si="28"/>
        <v>0</v>
      </c>
      <c r="F155" s="54"/>
      <c r="G155" s="53">
        <f t="shared" si="21"/>
        <v>0</v>
      </c>
      <c r="H155" s="53">
        <v>0</v>
      </c>
      <c r="I155" s="69">
        <f t="shared" si="25"/>
        <v>0</v>
      </c>
      <c r="J155" s="69"/>
      <c r="K155" s="53">
        <f t="shared" si="26"/>
        <v>0</v>
      </c>
      <c r="L155" s="176">
        <f t="shared" si="27"/>
        <v>0</v>
      </c>
      <c r="O155" s="190"/>
    </row>
    <row r="156" spans="1:15" x14ac:dyDescent="0.3">
      <c r="A156" s="52"/>
      <c r="B156" s="51" t="s">
        <v>777</v>
      </c>
      <c r="C156" s="54"/>
      <c r="D156" s="54"/>
      <c r="E156" s="54">
        <f t="shared" si="28"/>
        <v>0</v>
      </c>
      <c r="F156" s="54"/>
      <c r="G156" s="53">
        <f t="shared" si="21"/>
        <v>0</v>
      </c>
      <c r="H156" s="53">
        <v>0</v>
      </c>
      <c r="I156" s="69">
        <f t="shared" si="25"/>
        <v>0</v>
      </c>
      <c r="J156" s="69"/>
      <c r="K156" s="53">
        <f t="shared" si="26"/>
        <v>0</v>
      </c>
      <c r="L156" s="176">
        <f t="shared" si="27"/>
        <v>0</v>
      </c>
      <c r="O156" s="190"/>
    </row>
    <row r="157" spans="1:15" x14ac:dyDescent="0.3">
      <c r="A157" s="52" t="s">
        <v>990</v>
      </c>
      <c r="B157" s="52" t="s">
        <v>778</v>
      </c>
      <c r="C157" s="54">
        <v>50000</v>
      </c>
      <c r="D157" s="54"/>
      <c r="E157" s="54">
        <f t="shared" si="28"/>
        <v>50000</v>
      </c>
      <c r="F157" s="54"/>
      <c r="G157" s="53">
        <f t="shared" si="21"/>
        <v>50000</v>
      </c>
      <c r="H157" s="53">
        <v>-7000</v>
      </c>
      <c r="I157" s="69">
        <f t="shared" si="25"/>
        <v>43000</v>
      </c>
      <c r="J157" s="69">
        <v>10000</v>
      </c>
      <c r="K157" s="53">
        <f t="shared" si="26"/>
        <v>10420</v>
      </c>
      <c r="L157" s="176">
        <f t="shared" si="27"/>
        <v>10878.48</v>
      </c>
      <c r="O157" s="190"/>
    </row>
    <row r="158" spans="1:15" x14ac:dyDescent="0.3">
      <c r="A158" s="52" t="s">
        <v>991</v>
      </c>
      <c r="B158" s="52" t="s">
        <v>779</v>
      </c>
      <c r="C158" s="54">
        <v>60000</v>
      </c>
      <c r="D158" s="54"/>
      <c r="E158" s="54">
        <f t="shared" si="28"/>
        <v>60000</v>
      </c>
      <c r="F158" s="54"/>
      <c r="G158" s="53">
        <f t="shared" si="21"/>
        <v>60000</v>
      </c>
      <c r="H158" s="53">
        <v>-31000</v>
      </c>
      <c r="I158" s="69">
        <f t="shared" si="25"/>
        <v>29000</v>
      </c>
      <c r="J158" s="69">
        <v>30000</v>
      </c>
      <c r="K158" s="53">
        <f t="shared" si="26"/>
        <v>31260</v>
      </c>
      <c r="L158" s="176">
        <f t="shared" si="27"/>
        <v>32635.440000000002</v>
      </c>
      <c r="O158" s="190"/>
    </row>
    <row r="159" spans="1:15" x14ac:dyDescent="0.3">
      <c r="A159" s="56" t="s">
        <v>992</v>
      </c>
      <c r="B159" s="56" t="s">
        <v>780</v>
      </c>
      <c r="C159" s="68">
        <v>50000</v>
      </c>
      <c r="D159" s="68"/>
      <c r="E159" s="54">
        <f t="shared" si="28"/>
        <v>50000</v>
      </c>
      <c r="F159" s="68"/>
      <c r="G159" s="53">
        <f t="shared" si="21"/>
        <v>50000</v>
      </c>
      <c r="H159" s="69">
        <v>-308.67999999999302</v>
      </c>
      <c r="I159" s="69">
        <f t="shared" si="25"/>
        <v>49691.320000000007</v>
      </c>
      <c r="J159" s="69">
        <v>60000</v>
      </c>
      <c r="K159" s="53">
        <f t="shared" si="26"/>
        <v>62520</v>
      </c>
      <c r="L159" s="176">
        <f t="shared" si="27"/>
        <v>65270.880000000005</v>
      </c>
      <c r="O159" s="190"/>
    </row>
    <row r="160" spans="1:15" x14ac:dyDescent="0.3">
      <c r="A160" s="56" t="s">
        <v>994</v>
      </c>
      <c r="B160" s="56" t="s">
        <v>993</v>
      </c>
      <c r="C160" s="226">
        <v>100000</v>
      </c>
      <c r="D160" s="226"/>
      <c r="E160" s="68">
        <f t="shared" si="28"/>
        <v>100000</v>
      </c>
      <c r="F160" s="68"/>
      <c r="G160" s="69">
        <f t="shared" si="21"/>
        <v>100000</v>
      </c>
      <c r="H160" s="69">
        <v>-100000</v>
      </c>
      <c r="I160" s="69">
        <f t="shared" si="25"/>
        <v>0</v>
      </c>
      <c r="J160" s="69">
        <v>80000</v>
      </c>
      <c r="K160" s="53">
        <f t="shared" si="26"/>
        <v>83360</v>
      </c>
      <c r="L160" s="176">
        <f t="shared" si="27"/>
        <v>87027.839999999997</v>
      </c>
      <c r="O160" s="190"/>
    </row>
    <row r="161" spans="1:15" x14ac:dyDescent="0.3">
      <c r="A161" s="52"/>
      <c r="B161" s="52"/>
      <c r="C161" s="115"/>
      <c r="D161" s="115"/>
      <c r="E161" s="115"/>
      <c r="F161" s="115"/>
      <c r="G161" s="53"/>
      <c r="H161" s="53"/>
      <c r="I161" s="53"/>
      <c r="J161" s="53"/>
      <c r="K161" s="53">
        <f t="shared" si="26"/>
        <v>0</v>
      </c>
      <c r="L161" s="176">
        <f t="shared" si="27"/>
        <v>0</v>
      </c>
      <c r="O161" s="190"/>
    </row>
    <row r="162" spans="1:15" x14ac:dyDescent="0.3">
      <c r="A162" s="52"/>
      <c r="B162" s="55" t="s">
        <v>1387</v>
      </c>
      <c r="C162" s="115"/>
      <c r="D162" s="115"/>
      <c r="E162" s="115"/>
      <c r="F162" s="115"/>
      <c r="G162" s="53"/>
      <c r="H162" s="53"/>
      <c r="I162" s="53"/>
      <c r="J162" s="53"/>
      <c r="K162" s="53">
        <f t="shared" si="26"/>
        <v>0</v>
      </c>
      <c r="L162" s="176">
        <f t="shared" si="27"/>
        <v>0</v>
      </c>
      <c r="O162" s="190"/>
    </row>
    <row r="163" spans="1:15" x14ac:dyDescent="0.3">
      <c r="A163" s="52" t="s">
        <v>1472</v>
      </c>
      <c r="B163" s="56" t="s">
        <v>1388</v>
      </c>
      <c r="C163" s="115"/>
      <c r="D163" s="115"/>
      <c r="E163" s="115"/>
      <c r="F163" s="115"/>
      <c r="G163" s="53"/>
      <c r="H163" s="53"/>
      <c r="I163" s="53"/>
      <c r="J163" s="53">
        <v>30000</v>
      </c>
      <c r="K163" s="53">
        <f t="shared" si="26"/>
        <v>31260</v>
      </c>
      <c r="L163" s="176">
        <f t="shared" si="27"/>
        <v>32635.440000000002</v>
      </c>
      <c r="O163" s="190"/>
    </row>
    <row r="164" spans="1:15" x14ac:dyDescent="0.3">
      <c r="A164" s="52" t="s">
        <v>1473</v>
      </c>
      <c r="B164" s="56" t="s">
        <v>1389</v>
      </c>
      <c r="C164" s="115"/>
      <c r="D164" s="115"/>
      <c r="E164" s="115"/>
      <c r="F164" s="115"/>
      <c r="G164" s="53"/>
      <c r="H164" s="53"/>
      <c r="I164" s="53"/>
      <c r="J164" s="53">
        <v>30000</v>
      </c>
      <c r="K164" s="53">
        <f t="shared" si="26"/>
        <v>31260</v>
      </c>
      <c r="L164" s="176">
        <f t="shared" si="27"/>
        <v>32635.440000000002</v>
      </c>
      <c r="O164" s="190"/>
    </row>
    <row r="165" spans="1:15" x14ac:dyDescent="0.3">
      <c r="A165" s="52" t="s">
        <v>1474</v>
      </c>
      <c r="B165" s="56" t="s">
        <v>1390</v>
      </c>
      <c r="C165" s="115"/>
      <c r="D165" s="115"/>
      <c r="E165" s="115"/>
      <c r="F165" s="115"/>
      <c r="G165" s="53"/>
      <c r="H165" s="53"/>
      <c r="I165" s="53"/>
      <c r="J165" s="53">
        <v>40000</v>
      </c>
      <c r="K165" s="53">
        <f t="shared" si="26"/>
        <v>41680</v>
      </c>
      <c r="L165" s="176">
        <f t="shared" si="27"/>
        <v>43513.919999999998</v>
      </c>
      <c r="O165" s="190"/>
    </row>
    <row r="166" spans="1:15" x14ac:dyDescent="0.3">
      <c r="A166" s="52" t="s">
        <v>1475</v>
      </c>
      <c r="B166" s="56" t="s">
        <v>1391</v>
      </c>
      <c r="C166" s="115"/>
      <c r="D166" s="115"/>
      <c r="E166" s="115"/>
      <c r="F166" s="115"/>
      <c r="G166" s="53"/>
      <c r="H166" s="53"/>
      <c r="I166" s="53"/>
      <c r="J166" s="53">
        <v>20000</v>
      </c>
      <c r="K166" s="53">
        <f t="shared" si="26"/>
        <v>20840</v>
      </c>
      <c r="L166" s="176">
        <f t="shared" si="27"/>
        <v>21756.959999999999</v>
      </c>
      <c r="O166" s="190"/>
    </row>
    <row r="167" spans="1:15" x14ac:dyDescent="0.3">
      <c r="A167" s="52"/>
      <c r="B167" s="55"/>
      <c r="C167" s="115"/>
      <c r="D167" s="115"/>
      <c r="E167" s="115"/>
      <c r="F167" s="115"/>
      <c r="G167" s="53"/>
      <c r="H167" s="53"/>
      <c r="I167" s="53"/>
      <c r="J167" s="53"/>
      <c r="K167" s="53">
        <f t="shared" si="26"/>
        <v>0</v>
      </c>
      <c r="L167" s="176">
        <f t="shared" si="27"/>
        <v>0</v>
      </c>
      <c r="O167" s="190"/>
    </row>
    <row r="168" spans="1:15" x14ac:dyDescent="0.3">
      <c r="A168" s="52"/>
      <c r="B168" s="55" t="s">
        <v>1392</v>
      </c>
      <c r="C168" s="115"/>
      <c r="D168" s="115"/>
      <c r="E168" s="115"/>
      <c r="F168" s="115"/>
      <c r="G168" s="53"/>
      <c r="H168" s="53"/>
      <c r="I168" s="53"/>
      <c r="J168" s="53"/>
      <c r="K168" s="53">
        <f t="shared" si="26"/>
        <v>0</v>
      </c>
      <c r="L168" s="176">
        <f t="shared" si="27"/>
        <v>0</v>
      </c>
      <c r="O168" s="190"/>
    </row>
    <row r="169" spans="1:15" x14ac:dyDescent="0.3">
      <c r="A169" s="52" t="s">
        <v>1476</v>
      </c>
      <c r="B169" s="56" t="s">
        <v>1393</v>
      </c>
      <c r="C169" s="115"/>
      <c r="D169" s="115"/>
      <c r="E169" s="115"/>
      <c r="F169" s="115"/>
      <c r="G169" s="53"/>
      <c r="H169" s="53"/>
      <c r="I169" s="53"/>
      <c r="J169" s="53">
        <v>30000</v>
      </c>
      <c r="K169" s="53">
        <f t="shared" si="26"/>
        <v>31260</v>
      </c>
      <c r="L169" s="176">
        <f t="shared" si="27"/>
        <v>32635.440000000002</v>
      </c>
      <c r="O169" s="190"/>
    </row>
    <row r="170" spans="1:15" x14ac:dyDescent="0.3">
      <c r="A170" s="52" t="s">
        <v>1477</v>
      </c>
      <c r="B170" s="56" t="s">
        <v>1394</v>
      </c>
      <c r="C170" s="115"/>
      <c r="D170" s="115"/>
      <c r="E170" s="115"/>
      <c r="F170" s="115"/>
      <c r="G170" s="53"/>
      <c r="H170" s="53"/>
      <c r="I170" s="53"/>
      <c r="J170" s="53">
        <v>30000</v>
      </c>
      <c r="K170" s="53">
        <f t="shared" si="26"/>
        <v>31260</v>
      </c>
      <c r="L170" s="176">
        <f t="shared" si="27"/>
        <v>32635.440000000002</v>
      </c>
      <c r="O170" s="190"/>
    </row>
    <row r="171" spans="1:15" x14ac:dyDescent="0.3">
      <c r="A171" s="52" t="s">
        <v>1478</v>
      </c>
      <c r="B171" s="56" t="s">
        <v>1395</v>
      </c>
      <c r="C171" s="115"/>
      <c r="D171" s="115"/>
      <c r="E171" s="115"/>
      <c r="F171" s="115"/>
      <c r="G171" s="53"/>
      <c r="H171" s="53"/>
      <c r="I171" s="53"/>
      <c r="J171" s="53">
        <v>40000</v>
      </c>
      <c r="K171" s="53">
        <f t="shared" si="26"/>
        <v>41680</v>
      </c>
      <c r="L171" s="176">
        <f t="shared" si="27"/>
        <v>43513.919999999998</v>
      </c>
      <c r="O171" s="190"/>
    </row>
    <row r="172" spans="1:15" x14ac:dyDescent="0.3">
      <c r="A172" s="52" t="s">
        <v>1479</v>
      </c>
      <c r="B172" s="56" t="s">
        <v>1396</v>
      </c>
      <c r="C172" s="115"/>
      <c r="D172" s="115"/>
      <c r="E172" s="115"/>
      <c r="F172" s="115"/>
      <c r="G172" s="53"/>
      <c r="H172" s="53"/>
      <c r="I172" s="53"/>
      <c r="J172" s="53">
        <v>20000</v>
      </c>
      <c r="K172" s="53">
        <f t="shared" si="26"/>
        <v>20840</v>
      </c>
      <c r="L172" s="176">
        <f t="shared" si="27"/>
        <v>21756.959999999999</v>
      </c>
      <c r="O172" s="190"/>
    </row>
    <row r="173" spans="1:15" x14ac:dyDescent="0.3">
      <c r="A173" s="52"/>
      <c r="B173" s="56"/>
      <c r="C173" s="115"/>
      <c r="D173" s="115"/>
      <c r="E173" s="115"/>
      <c r="F173" s="115"/>
      <c r="G173" s="53"/>
      <c r="H173" s="53"/>
      <c r="I173" s="53"/>
      <c r="J173" s="53"/>
      <c r="K173" s="53">
        <f t="shared" si="26"/>
        <v>0</v>
      </c>
      <c r="L173" s="176">
        <f t="shared" si="27"/>
        <v>0</v>
      </c>
      <c r="O173" s="190"/>
    </row>
    <row r="174" spans="1:15" x14ac:dyDescent="0.3">
      <c r="A174" s="52"/>
      <c r="B174" s="55" t="s">
        <v>1397</v>
      </c>
      <c r="C174" s="115"/>
      <c r="D174" s="115"/>
      <c r="E174" s="115"/>
      <c r="F174" s="115"/>
      <c r="G174" s="53"/>
      <c r="H174" s="53"/>
      <c r="I174" s="53"/>
      <c r="J174" s="53"/>
      <c r="K174" s="53">
        <f t="shared" si="26"/>
        <v>0</v>
      </c>
      <c r="L174" s="176">
        <f t="shared" si="27"/>
        <v>0</v>
      </c>
      <c r="O174" s="190"/>
    </row>
    <row r="175" spans="1:15" x14ac:dyDescent="0.3">
      <c r="A175" s="52" t="s">
        <v>1480</v>
      </c>
      <c r="B175" s="56" t="s">
        <v>1398</v>
      </c>
      <c r="C175" s="115"/>
      <c r="D175" s="115"/>
      <c r="E175" s="115"/>
      <c r="F175" s="115"/>
      <c r="G175" s="53"/>
      <c r="H175" s="53"/>
      <c r="I175" s="53"/>
      <c r="J175" s="53">
        <v>30000</v>
      </c>
      <c r="K175" s="53">
        <f t="shared" si="26"/>
        <v>31260</v>
      </c>
      <c r="L175" s="176">
        <f t="shared" si="27"/>
        <v>32635.440000000002</v>
      </c>
      <c r="O175" s="190"/>
    </row>
    <row r="176" spans="1:15" x14ac:dyDescent="0.3">
      <c r="A176" s="52" t="s">
        <v>1481</v>
      </c>
      <c r="B176" s="56" t="s">
        <v>1399</v>
      </c>
      <c r="C176" s="115"/>
      <c r="D176" s="115"/>
      <c r="E176" s="115"/>
      <c r="F176" s="115"/>
      <c r="G176" s="53"/>
      <c r="H176" s="53"/>
      <c r="I176" s="53"/>
      <c r="J176" s="53">
        <v>50000</v>
      </c>
      <c r="K176" s="53">
        <f t="shared" si="26"/>
        <v>52100</v>
      </c>
      <c r="L176" s="176">
        <f t="shared" si="27"/>
        <v>54392.4</v>
      </c>
      <c r="O176" s="190"/>
    </row>
    <row r="177" spans="1:15" x14ac:dyDescent="0.3">
      <c r="A177" s="52" t="s">
        <v>1482</v>
      </c>
      <c r="B177" s="56" t="s">
        <v>1400</v>
      </c>
      <c r="C177" s="115"/>
      <c r="D177" s="115"/>
      <c r="E177" s="115"/>
      <c r="F177" s="115"/>
      <c r="G177" s="53"/>
      <c r="H177" s="53"/>
      <c r="I177" s="53"/>
      <c r="J177" s="53">
        <v>60000</v>
      </c>
      <c r="K177" s="53">
        <f t="shared" si="26"/>
        <v>62520</v>
      </c>
      <c r="L177" s="176">
        <f t="shared" si="27"/>
        <v>65270.880000000005</v>
      </c>
      <c r="O177" s="190"/>
    </row>
    <row r="178" spans="1:15" x14ac:dyDescent="0.3">
      <c r="A178" s="52" t="s">
        <v>1483</v>
      </c>
      <c r="B178" s="56" t="s">
        <v>1401</v>
      </c>
      <c r="C178" s="115"/>
      <c r="D178" s="115"/>
      <c r="E178" s="115"/>
      <c r="F178" s="115"/>
      <c r="G178" s="53"/>
      <c r="H178" s="53"/>
      <c r="I178" s="53"/>
      <c r="J178" s="53">
        <v>50000</v>
      </c>
      <c r="K178" s="53">
        <f t="shared" si="26"/>
        <v>52100</v>
      </c>
      <c r="L178" s="176">
        <f t="shared" si="27"/>
        <v>54392.4</v>
      </c>
      <c r="O178" s="190"/>
    </row>
    <row r="179" spans="1:15" x14ac:dyDescent="0.3">
      <c r="A179" s="52" t="s">
        <v>1484</v>
      </c>
      <c r="B179" s="56" t="s">
        <v>1402</v>
      </c>
      <c r="C179" s="115"/>
      <c r="D179" s="115"/>
      <c r="E179" s="115"/>
      <c r="F179" s="115"/>
      <c r="G179" s="53"/>
      <c r="H179" s="53"/>
      <c r="I179" s="53"/>
      <c r="J179" s="53">
        <v>20000</v>
      </c>
      <c r="K179" s="53">
        <f t="shared" si="26"/>
        <v>20840</v>
      </c>
      <c r="L179" s="176">
        <f t="shared" si="27"/>
        <v>21756.959999999999</v>
      </c>
      <c r="O179" s="190"/>
    </row>
    <row r="180" spans="1:15" x14ac:dyDescent="0.3">
      <c r="A180" s="52"/>
      <c r="B180" s="56"/>
      <c r="C180" s="115"/>
      <c r="D180" s="115"/>
      <c r="E180" s="115"/>
      <c r="F180" s="115"/>
      <c r="G180" s="53"/>
      <c r="H180" s="53"/>
      <c r="I180" s="53"/>
      <c r="J180" s="53"/>
      <c r="K180" s="53">
        <f t="shared" ref="K180:K187" si="29">J180*104.2%</f>
        <v>0</v>
      </c>
      <c r="L180" s="176">
        <f t="shared" ref="L180:L187" si="30">K180*104.4%</f>
        <v>0</v>
      </c>
      <c r="O180" s="190"/>
    </row>
    <row r="181" spans="1:15" x14ac:dyDescent="0.3">
      <c r="A181" s="52"/>
      <c r="B181" s="55" t="s">
        <v>1403</v>
      </c>
      <c r="C181" s="115"/>
      <c r="D181" s="115"/>
      <c r="E181" s="115"/>
      <c r="F181" s="115"/>
      <c r="G181" s="53"/>
      <c r="H181" s="53"/>
      <c r="I181" s="53"/>
      <c r="J181" s="53"/>
      <c r="K181" s="53">
        <f t="shared" si="29"/>
        <v>0</v>
      </c>
      <c r="L181" s="176">
        <f t="shared" si="30"/>
        <v>0</v>
      </c>
      <c r="O181" s="190"/>
    </row>
    <row r="182" spans="1:15" x14ac:dyDescent="0.3">
      <c r="A182" s="52" t="s">
        <v>1485</v>
      </c>
      <c r="B182" s="56" t="s">
        <v>1404</v>
      </c>
      <c r="C182" s="115"/>
      <c r="D182" s="115"/>
      <c r="E182" s="115"/>
      <c r="F182" s="115"/>
      <c r="G182" s="53"/>
      <c r="H182" s="53"/>
      <c r="I182" s="53"/>
      <c r="J182" s="53">
        <v>40000</v>
      </c>
      <c r="K182" s="53">
        <f t="shared" si="29"/>
        <v>41680</v>
      </c>
      <c r="L182" s="176">
        <f t="shared" si="30"/>
        <v>43513.919999999998</v>
      </c>
      <c r="O182" s="190"/>
    </row>
    <row r="183" spans="1:15" x14ac:dyDescent="0.3">
      <c r="A183" s="52" t="s">
        <v>1515</v>
      </c>
      <c r="B183" s="56" t="s">
        <v>1405</v>
      </c>
      <c r="C183" s="115"/>
      <c r="D183" s="115"/>
      <c r="E183" s="115"/>
      <c r="F183" s="115"/>
      <c r="G183" s="53"/>
      <c r="H183" s="53"/>
      <c r="I183" s="53"/>
      <c r="J183" s="53">
        <v>30000</v>
      </c>
      <c r="K183" s="53">
        <f t="shared" si="29"/>
        <v>31260</v>
      </c>
      <c r="L183" s="176">
        <f t="shared" si="30"/>
        <v>32635.440000000002</v>
      </c>
      <c r="O183" s="190"/>
    </row>
    <row r="184" spans="1:15" x14ac:dyDescent="0.3">
      <c r="A184" s="52" t="s">
        <v>1516</v>
      </c>
      <c r="B184" s="56" t="s">
        <v>1406</v>
      </c>
      <c r="C184" s="115"/>
      <c r="D184" s="115"/>
      <c r="E184" s="115"/>
      <c r="F184" s="115"/>
      <c r="G184" s="53"/>
      <c r="H184" s="53"/>
      <c r="I184" s="53"/>
      <c r="J184" s="53">
        <v>45000</v>
      </c>
      <c r="K184" s="53">
        <f t="shared" si="29"/>
        <v>46890</v>
      </c>
      <c r="L184" s="176">
        <f t="shared" si="30"/>
        <v>48953.16</v>
      </c>
      <c r="O184" s="190"/>
    </row>
    <row r="185" spans="1:15" x14ac:dyDescent="0.3">
      <c r="A185" s="52" t="s">
        <v>1517</v>
      </c>
      <c r="B185" s="56" t="s">
        <v>1407</v>
      </c>
      <c r="C185" s="115"/>
      <c r="D185" s="115"/>
      <c r="E185" s="115"/>
      <c r="F185" s="115"/>
      <c r="G185" s="53"/>
      <c r="H185" s="53"/>
      <c r="I185" s="53"/>
      <c r="J185" s="53">
        <v>20000</v>
      </c>
      <c r="K185" s="53">
        <f t="shared" si="29"/>
        <v>20840</v>
      </c>
      <c r="L185" s="176">
        <f t="shared" si="30"/>
        <v>21756.959999999999</v>
      </c>
      <c r="O185" s="190"/>
    </row>
    <row r="186" spans="1:15" x14ac:dyDescent="0.3">
      <c r="A186" s="52" t="s">
        <v>1518</v>
      </c>
      <c r="B186" s="56" t="s">
        <v>1408</v>
      </c>
      <c r="C186" s="115"/>
      <c r="D186" s="115"/>
      <c r="E186" s="115"/>
      <c r="F186" s="115"/>
      <c r="G186" s="53"/>
      <c r="H186" s="53"/>
      <c r="I186" s="53"/>
      <c r="J186" s="53">
        <v>40000</v>
      </c>
      <c r="K186" s="53">
        <f t="shared" si="29"/>
        <v>41680</v>
      </c>
      <c r="L186" s="176">
        <f t="shared" si="30"/>
        <v>43513.919999999998</v>
      </c>
      <c r="O186" s="190"/>
    </row>
    <row r="187" spans="1:15" ht="14.5" thickBot="1" x14ac:dyDescent="0.35">
      <c r="A187" s="52"/>
      <c r="B187" s="52"/>
      <c r="C187" s="115"/>
      <c r="D187" s="115"/>
      <c r="E187" s="115"/>
      <c r="F187" s="115"/>
      <c r="G187" s="53"/>
      <c r="H187" s="53"/>
      <c r="I187" s="53"/>
      <c r="J187" s="53"/>
      <c r="K187" s="53">
        <f t="shared" si="29"/>
        <v>0</v>
      </c>
      <c r="L187" s="176">
        <f t="shared" si="30"/>
        <v>0</v>
      </c>
      <c r="O187" s="190"/>
    </row>
    <row r="188" spans="1:15" ht="14.5" thickBot="1" x14ac:dyDescent="0.35">
      <c r="A188" s="57" t="s">
        <v>674</v>
      </c>
      <c r="B188" s="57"/>
      <c r="C188" s="92">
        <f>SUM(C52:C160)</f>
        <v>3470000</v>
      </c>
      <c r="D188" s="92">
        <f>SUM(D52:D160)</f>
        <v>0</v>
      </c>
      <c r="E188" s="92">
        <f>SUM(E52:E187)</f>
        <v>3470000</v>
      </c>
      <c r="F188" s="92">
        <f t="shared" ref="F188:L188" si="31">SUM(F52:F187)</f>
        <v>0</v>
      </c>
      <c r="G188" s="92">
        <f t="shared" si="31"/>
        <v>3470000</v>
      </c>
      <c r="H188" s="92">
        <f t="shared" si="31"/>
        <v>-1147296.99</v>
      </c>
      <c r="I188" s="92">
        <f t="shared" si="31"/>
        <v>2322703.0100000002</v>
      </c>
      <c r="J188" s="92">
        <f>SUM(J52:J187)</f>
        <v>3620000</v>
      </c>
      <c r="K188" s="92">
        <f t="shared" si="31"/>
        <v>3772040</v>
      </c>
      <c r="L188" s="92">
        <f t="shared" si="31"/>
        <v>3938009.7599999979</v>
      </c>
      <c r="M188" s="191"/>
      <c r="N188" s="192"/>
      <c r="O188" s="192"/>
    </row>
    <row r="189" spans="1:15" ht="14.5" thickTop="1" x14ac:dyDescent="0.3">
      <c r="A189" s="61"/>
      <c r="B189" s="61"/>
      <c r="C189" s="54">
        <v>0</v>
      </c>
      <c r="D189" s="54"/>
      <c r="E189" s="54">
        <f t="shared" si="28"/>
        <v>0</v>
      </c>
      <c r="F189" s="54"/>
      <c r="G189" s="54"/>
      <c r="H189" s="54"/>
      <c r="I189" s="54"/>
      <c r="J189" s="54"/>
      <c r="K189" s="62"/>
      <c r="L189" s="184"/>
    </row>
    <row r="190" spans="1:15" x14ac:dyDescent="0.3">
      <c r="A190" s="51" t="s">
        <v>77</v>
      </c>
      <c r="B190" s="52"/>
      <c r="C190" s="54"/>
      <c r="D190" s="54"/>
      <c r="E190" s="54">
        <f t="shared" si="28"/>
        <v>0</v>
      </c>
      <c r="F190" s="54"/>
      <c r="G190" s="54"/>
      <c r="H190" s="54"/>
      <c r="I190" s="54"/>
      <c r="J190" s="54"/>
      <c r="K190" s="62"/>
      <c r="L190" s="184"/>
    </row>
    <row r="191" spans="1:15" x14ac:dyDescent="0.3">
      <c r="A191" s="52"/>
      <c r="B191" s="52" t="s">
        <v>183</v>
      </c>
      <c r="C191" s="54">
        <v>0</v>
      </c>
      <c r="D191" s="54"/>
      <c r="E191" s="54">
        <f t="shared" si="28"/>
        <v>0</v>
      </c>
      <c r="F191" s="54"/>
      <c r="G191" s="53">
        <f t="shared" ref="G191:G199" si="32">E191+F191</f>
        <v>0</v>
      </c>
      <c r="H191" s="62"/>
      <c r="I191" s="53">
        <f t="shared" ref="I191:I199" si="33">G191+H191</f>
        <v>0</v>
      </c>
      <c r="J191" s="53"/>
      <c r="K191" s="62"/>
      <c r="L191" s="184"/>
      <c r="O191" s="190"/>
    </row>
    <row r="192" spans="1:15" x14ac:dyDescent="0.3">
      <c r="A192" s="52"/>
      <c r="B192" s="52" t="s">
        <v>174</v>
      </c>
      <c r="C192" s="54">
        <v>0</v>
      </c>
      <c r="D192" s="54"/>
      <c r="E192" s="54">
        <f t="shared" si="28"/>
        <v>0</v>
      </c>
      <c r="F192" s="54"/>
      <c r="G192" s="53">
        <f t="shared" si="32"/>
        <v>0</v>
      </c>
      <c r="H192" s="62"/>
      <c r="I192" s="53">
        <f t="shared" si="33"/>
        <v>0</v>
      </c>
      <c r="J192" s="53"/>
      <c r="K192" s="62"/>
      <c r="L192" s="184"/>
      <c r="O192" s="190"/>
    </row>
    <row r="193" spans="1:17" x14ac:dyDescent="0.3">
      <c r="A193" s="52"/>
      <c r="B193" s="52" t="s">
        <v>180</v>
      </c>
      <c r="C193" s="54">
        <v>0</v>
      </c>
      <c r="D193" s="54"/>
      <c r="E193" s="54">
        <f t="shared" si="28"/>
        <v>0</v>
      </c>
      <c r="F193" s="54"/>
      <c r="G193" s="53">
        <f t="shared" si="32"/>
        <v>0</v>
      </c>
      <c r="H193" s="62"/>
      <c r="I193" s="53">
        <f t="shared" si="33"/>
        <v>0</v>
      </c>
      <c r="J193" s="53"/>
      <c r="K193" s="62"/>
      <c r="L193" s="184"/>
      <c r="O193" s="190"/>
    </row>
    <row r="194" spans="1:17" x14ac:dyDescent="0.3">
      <c r="A194" s="52"/>
      <c r="B194" s="52" t="s">
        <v>57</v>
      </c>
      <c r="C194" s="54">
        <v>0</v>
      </c>
      <c r="D194" s="54"/>
      <c r="E194" s="54">
        <f t="shared" si="28"/>
        <v>0</v>
      </c>
      <c r="F194" s="54"/>
      <c r="G194" s="53">
        <f t="shared" si="32"/>
        <v>0</v>
      </c>
      <c r="H194" s="62"/>
      <c r="I194" s="53">
        <f t="shared" si="33"/>
        <v>0</v>
      </c>
      <c r="J194" s="53"/>
      <c r="K194" s="62"/>
      <c r="L194" s="184"/>
      <c r="O194" s="190"/>
    </row>
    <row r="195" spans="1:17" x14ac:dyDescent="0.3">
      <c r="A195" s="52"/>
      <c r="B195" s="52" t="s">
        <v>166</v>
      </c>
      <c r="C195" s="54">
        <v>0</v>
      </c>
      <c r="D195" s="54"/>
      <c r="E195" s="54">
        <f t="shared" si="28"/>
        <v>0</v>
      </c>
      <c r="F195" s="54"/>
      <c r="G195" s="53">
        <f t="shared" si="32"/>
        <v>0</v>
      </c>
      <c r="H195" s="62"/>
      <c r="I195" s="53">
        <f t="shared" si="33"/>
        <v>0</v>
      </c>
      <c r="J195" s="53"/>
      <c r="K195" s="62"/>
      <c r="L195" s="184"/>
      <c r="O195" s="190"/>
    </row>
    <row r="196" spans="1:17" x14ac:dyDescent="0.3">
      <c r="A196" s="52"/>
      <c r="B196" s="52" t="s">
        <v>171</v>
      </c>
      <c r="C196" s="54">
        <v>0</v>
      </c>
      <c r="D196" s="54"/>
      <c r="E196" s="54">
        <f t="shared" si="28"/>
        <v>0</v>
      </c>
      <c r="F196" s="54"/>
      <c r="G196" s="53">
        <f t="shared" si="32"/>
        <v>0</v>
      </c>
      <c r="H196" s="62"/>
      <c r="I196" s="53">
        <f t="shared" si="33"/>
        <v>0</v>
      </c>
      <c r="J196" s="53"/>
      <c r="K196" s="62"/>
      <c r="L196" s="184"/>
      <c r="O196" s="190"/>
    </row>
    <row r="197" spans="1:17" x14ac:dyDescent="0.3">
      <c r="A197" s="52"/>
      <c r="B197" s="52" t="s">
        <v>190</v>
      </c>
      <c r="C197" s="54">
        <v>0</v>
      </c>
      <c r="D197" s="54"/>
      <c r="E197" s="54">
        <f t="shared" si="28"/>
        <v>0</v>
      </c>
      <c r="F197" s="54"/>
      <c r="G197" s="53">
        <f t="shared" si="32"/>
        <v>0</v>
      </c>
      <c r="H197" s="62"/>
      <c r="I197" s="53">
        <f t="shared" si="33"/>
        <v>0</v>
      </c>
      <c r="J197" s="53"/>
      <c r="K197" s="62"/>
      <c r="L197" s="184"/>
      <c r="O197" s="190"/>
    </row>
    <row r="198" spans="1:17" x14ac:dyDescent="0.3">
      <c r="A198" s="52"/>
      <c r="B198" s="52" t="s">
        <v>55</v>
      </c>
      <c r="C198" s="54">
        <v>0</v>
      </c>
      <c r="D198" s="54"/>
      <c r="E198" s="54">
        <f t="shared" si="28"/>
        <v>0</v>
      </c>
      <c r="F198" s="54"/>
      <c r="G198" s="53">
        <f t="shared" si="32"/>
        <v>0</v>
      </c>
      <c r="H198" s="62"/>
      <c r="I198" s="53">
        <f t="shared" si="33"/>
        <v>0</v>
      </c>
      <c r="J198" s="53"/>
      <c r="K198" s="62"/>
      <c r="L198" s="184"/>
      <c r="O198" s="190"/>
    </row>
    <row r="199" spans="1:17" x14ac:dyDescent="0.3">
      <c r="A199" s="52"/>
      <c r="B199" s="52" t="s">
        <v>177</v>
      </c>
      <c r="C199" s="54">
        <v>0</v>
      </c>
      <c r="D199" s="54"/>
      <c r="E199" s="54">
        <f t="shared" si="28"/>
        <v>0</v>
      </c>
      <c r="F199" s="54"/>
      <c r="G199" s="53">
        <f t="shared" si="32"/>
        <v>0</v>
      </c>
      <c r="H199" s="62"/>
      <c r="I199" s="53">
        <f t="shared" si="33"/>
        <v>0</v>
      </c>
      <c r="J199" s="53"/>
      <c r="K199" s="62"/>
      <c r="L199" s="184"/>
      <c r="O199" s="190"/>
    </row>
    <row r="200" spans="1:17" ht="14.5" thickBot="1" x14ac:dyDescent="0.35">
      <c r="A200" s="55"/>
      <c r="B200" s="55"/>
      <c r="C200" s="68"/>
      <c r="D200" s="68"/>
      <c r="E200" s="54">
        <f t="shared" si="28"/>
        <v>0</v>
      </c>
      <c r="F200" s="68"/>
      <c r="G200" s="68"/>
      <c r="H200" s="68"/>
      <c r="I200" s="113"/>
      <c r="J200" s="113"/>
      <c r="K200" s="79"/>
      <c r="L200" s="179"/>
    </row>
    <row r="201" spans="1:17" ht="14.5" thickBot="1" x14ac:dyDescent="0.35">
      <c r="A201" s="57" t="s">
        <v>201</v>
      </c>
      <c r="B201" s="57"/>
      <c r="C201" s="57"/>
      <c r="D201" s="57"/>
      <c r="E201" s="57"/>
      <c r="F201" s="57"/>
      <c r="G201" s="57"/>
      <c r="H201" s="57"/>
      <c r="I201" s="57"/>
      <c r="J201" s="57"/>
      <c r="K201" s="57"/>
      <c r="L201" s="109"/>
      <c r="M201" s="180"/>
      <c r="N201" s="193"/>
      <c r="O201" s="193"/>
    </row>
    <row r="202" spans="1:17" ht="15" thickTop="1" thickBot="1" x14ac:dyDescent="0.35">
      <c r="A202" s="73"/>
      <c r="B202" s="73"/>
      <c r="C202" s="68"/>
      <c r="D202" s="68"/>
      <c r="E202" s="54">
        <f t="shared" si="28"/>
        <v>0</v>
      </c>
      <c r="F202" s="68"/>
      <c r="G202" s="68"/>
      <c r="H202" s="68"/>
      <c r="I202" s="68"/>
      <c r="J202" s="68"/>
      <c r="K202" s="79"/>
      <c r="L202" s="179"/>
    </row>
    <row r="203" spans="1:17" s="168" customFormat="1" ht="14.5" thickBot="1" x14ac:dyDescent="0.35">
      <c r="A203" s="70" t="s">
        <v>828</v>
      </c>
      <c r="B203" s="70"/>
      <c r="C203" s="71">
        <f>C201+C188</f>
        <v>3470000</v>
      </c>
      <c r="D203" s="71">
        <f t="shared" ref="D203:L203" si="34">D201+D188</f>
        <v>0</v>
      </c>
      <c r="E203" s="71">
        <f t="shared" si="34"/>
        <v>3470000</v>
      </c>
      <c r="F203" s="71">
        <f t="shared" si="34"/>
        <v>0</v>
      </c>
      <c r="G203" s="71">
        <f t="shared" si="34"/>
        <v>3470000</v>
      </c>
      <c r="H203" s="71">
        <f t="shared" si="34"/>
        <v>-1147296.99</v>
      </c>
      <c r="I203" s="71">
        <f t="shared" si="34"/>
        <v>2322703.0100000002</v>
      </c>
      <c r="J203" s="71">
        <f t="shared" si="34"/>
        <v>3620000</v>
      </c>
      <c r="K203" s="71">
        <f t="shared" si="34"/>
        <v>3772040</v>
      </c>
      <c r="L203" s="71">
        <f t="shared" si="34"/>
        <v>3938009.7599999979</v>
      </c>
      <c r="M203" s="191"/>
      <c r="N203" s="192"/>
      <c r="O203" s="192"/>
      <c r="P203" s="204"/>
      <c r="Q203" s="170"/>
    </row>
    <row r="204" spans="1:17" ht="14.5" thickTop="1" x14ac:dyDescent="0.3">
      <c r="A204" s="61"/>
      <c r="B204" s="61"/>
      <c r="C204" s="54"/>
      <c r="D204" s="54"/>
      <c r="E204" s="54">
        <f t="shared" si="28"/>
        <v>0</v>
      </c>
      <c r="F204" s="54"/>
      <c r="G204" s="54"/>
      <c r="H204" s="54"/>
      <c r="I204" s="54"/>
      <c r="J204" s="54"/>
      <c r="K204" s="62"/>
      <c r="L204" s="184"/>
    </row>
    <row r="205" spans="1:17" x14ac:dyDescent="0.3">
      <c r="A205" s="51" t="s">
        <v>829</v>
      </c>
      <c r="B205" s="51"/>
      <c r="C205" s="54">
        <v>0</v>
      </c>
      <c r="D205" s="54"/>
      <c r="E205" s="54">
        <f t="shared" si="28"/>
        <v>0</v>
      </c>
      <c r="F205" s="54"/>
      <c r="G205" s="54"/>
      <c r="H205" s="54"/>
      <c r="I205" s="54"/>
      <c r="J205" s="54"/>
      <c r="K205" s="53"/>
      <c r="L205" s="176"/>
    </row>
    <row r="206" spans="1:17" x14ac:dyDescent="0.3">
      <c r="A206" s="52"/>
      <c r="B206" s="51" t="s">
        <v>781</v>
      </c>
      <c r="C206" s="54"/>
      <c r="D206" s="54"/>
      <c r="E206" s="54">
        <f t="shared" si="28"/>
        <v>0</v>
      </c>
      <c r="F206" s="54"/>
      <c r="G206" s="54"/>
      <c r="H206" s="54"/>
      <c r="I206" s="54"/>
      <c r="J206" s="54"/>
      <c r="K206" s="53"/>
      <c r="L206" s="176"/>
    </row>
    <row r="207" spans="1:17" x14ac:dyDescent="0.3">
      <c r="A207" s="52" t="s">
        <v>995</v>
      </c>
      <c r="B207" s="52" t="s">
        <v>782</v>
      </c>
      <c r="C207" s="54">
        <v>60000</v>
      </c>
      <c r="D207" s="54"/>
      <c r="E207" s="54">
        <f t="shared" si="28"/>
        <v>60000</v>
      </c>
      <c r="F207" s="54"/>
      <c r="G207" s="53">
        <f t="shared" ref="G207:G275" si="35">E207+F207</f>
        <v>60000</v>
      </c>
      <c r="H207" s="53">
        <v>10000</v>
      </c>
      <c r="I207" s="69">
        <f t="shared" ref="I207:I240" si="36">G207+H207</f>
        <v>70000</v>
      </c>
      <c r="J207" s="69">
        <v>60000</v>
      </c>
      <c r="K207" s="53">
        <f t="shared" ref="K207:K238" si="37">J207*104.2%</f>
        <v>62520</v>
      </c>
      <c r="L207" s="176">
        <f t="shared" ref="L207:L238" si="38">K207*104.4%</f>
        <v>65270.880000000005</v>
      </c>
      <c r="O207" s="190"/>
    </row>
    <row r="208" spans="1:17" x14ac:dyDescent="0.3">
      <c r="A208" s="52" t="s">
        <v>996</v>
      </c>
      <c r="B208" s="52" t="s">
        <v>783</v>
      </c>
      <c r="C208" s="54">
        <v>30000</v>
      </c>
      <c r="D208" s="54"/>
      <c r="E208" s="54">
        <f t="shared" si="28"/>
        <v>30000</v>
      </c>
      <c r="F208" s="54"/>
      <c r="G208" s="53">
        <f t="shared" si="35"/>
        <v>30000</v>
      </c>
      <c r="H208" s="53">
        <v>40000</v>
      </c>
      <c r="I208" s="69">
        <f t="shared" si="36"/>
        <v>70000</v>
      </c>
      <c r="J208" s="69">
        <v>30000</v>
      </c>
      <c r="K208" s="53">
        <f t="shared" si="37"/>
        <v>31260</v>
      </c>
      <c r="L208" s="176">
        <f t="shared" si="38"/>
        <v>32635.440000000002</v>
      </c>
      <c r="O208" s="190"/>
    </row>
    <row r="209" spans="1:15" x14ac:dyDescent="0.3">
      <c r="A209" s="52" t="s">
        <v>997</v>
      </c>
      <c r="B209" s="52" t="s">
        <v>784</v>
      </c>
      <c r="C209" s="54">
        <v>60000</v>
      </c>
      <c r="D209" s="54"/>
      <c r="E209" s="54">
        <f t="shared" si="28"/>
        <v>60000</v>
      </c>
      <c r="F209" s="54"/>
      <c r="G209" s="53">
        <f t="shared" si="35"/>
        <v>60000</v>
      </c>
      <c r="H209" s="53">
        <v>-20000</v>
      </c>
      <c r="I209" s="69">
        <f t="shared" si="36"/>
        <v>40000</v>
      </c>
      <c r="J209" s="69">
        <v>60000</v>
      </c>
      <c r="K209" s="53">
        <f t="shared" si="37"/>
        <v>62520</v>
      </c>
      <c r="L209" s="176">
        <f t="shared" si="38"/>
        <v>65270.880000000005</v>
      </c>
      <c r="O209" s="190"/>
    </row>
    <row r="210" spans="1:15" x14ac:dyDescent="0.3">
      <c r="A210" s="52"/>
      <c r="B210" s="51" t="s">
        <v>945</v>
      </c>
      <c r="C210" s="54"/>
      <c r="D210" s="54"/>
      <c r="E210" s="54">
        <f t="shared" si="28"/>
        <v>0</v>
      </c>
      <c r="F210" s="54"/>
      <c r="G210" s="53">
        <f t="shared" si="35"/>
        <v>0</v>
      </c>
      <c r="H210" s="53"/>
      <c r="I210" s="69">
        <f t="shared" si="36"/>
        <v>0</v>
      </c>
      <c r="J210" s="69"/>
      <c r="K210" s="53">
        <f t="shared" si="37"/>
        <v>0</v>
      </c>
      <c r="L210" s="176">
        <f t="shared" si="38"/>
        <v>0</v>
      </c>
      <c r="O210" s="190"/>
    </row>
    <row r="211" spans="1:15" x14ac:dyDescent="0.3">
      <c r="A211" s="52" t="s">
        <v>998</v>
      </c>
      <c r="B211" s="52" t="s">
        <v>785</v>
      </c>
      <c r="C211" s="54">
        <v>20000</v>
      </c>
      <c r="D211" s="54"/>
      <c r="E211" s="54">
        <f t="shared" si="28"/>
        <v>20000</v>
      </c>
      <c r="F211" s="54"/>
      <c r="G211" s="53">
        <f t="shared" si="35"/>
        <v>20000</v>
      </c>
      <c r="H211" s="53">
        <v>-20000</v>
      </c>
      <c r="I211" s="69">
        <f t="shared" si="36"/>
        <v>0</v>
      </c>
      <c r="J211" s="69">
        <v>20000</v>
      </c>
      <c r="K211" s="53">
        <f t="shared" si="37"/>
        <v>20840</v>
      </c>
      <c r="L211" s="176">
        <f t="shared" si="38"/>
        <v>21756.959999999999</v>
      </c>
      <c r="O211" s="190"/>
    </row>
    <row r="212" spans="1:15" x14ac:dyDescent="0.3">
      <c r="A212" s="52" t="s">
        <v>999</v>
      </c>
      <c r="B212" s="52" t="s">
        <v>786</v>
      </c>
      <c r="C212" s="54">
        <v>20000</v>
      </c>
      <c r="D212" s="54"/>
      <c r="E212" s="54">
        <f t="shared" si="28"/>
        <v>20000</v>
      </c>
      <c r="F212" s="54"/>
      <c r="G212" s="53">
        <f t="shared" si="35"/>
        <v>20000</v>
      </c>
      <c r="H212" s="53">
        <v>-20000</v>
      </c>
      <c r="I212" s="69">
        <f t="shared" si="36"/>
        <v>0</v>
      </c>
      <c r="J212" s="69">
        <v>20000</v>
      </c>
      <c r="K212" s="53">
        <f t="shared" si="37"/>
        <v>20840</v>
      </c>
      <c r="L212" s="176">
        <f t="shared" si="38"/>
        <v>21756.959999999999</v>
      </c>
      <c r="O212" s="190"/>
    </row>
    <row r="213" spans="1:15" x14ac:dyDescent="0.3">
      <c r="A213" s="52" t="s">
        <v>1519</v>
      </c>
      <c r="B213" s="52" t="s">
        <v>1409</v>
      </c>
      <c r="C213" s="54"/>
      <c r="D213" s="54"/>
      <c r="E213" s="54"/>
      <c r="F213" s="54"/>
      <c r="G213" s="53"/>
      <c r="H213" s="53"/>
      <c r="I213" s="69"/>
      <c r="J213" s="69">
        <v>40000</v>
      </c>
      <c r="K213" s="53">
        <f t="shared" si="37"/>
        <v>41680</v>
      </c>
      <c r="L213" s="176">
        <f t="shared" si="38"/>
        <v>43513.919999999998</v>
      </c>
      <c r="O213" s="190"/>
    </row>
    <row r="214" spans="1:15" x14ac:dyDescent="0.3">
      <c r="A214" s="52" t="s">
        <v>1000</v>
      </c>
      <c r="B214" s="52" t="s">
        <v>787</v>
      </c>
      <c r="C214" s="54">
        <v>30000</v>
      </c>
      <c r="D214" s="54"/>
      <c r="E214" s="54">
        <f t="shared" si="28"/>
        <v>30000</v>
      </c>
      <c r="F214" s="54"/>
      <c r="G214" s="53">
        <f t="shared" si="35"/>
        <v>30000</v>
      </c>
      <c r="H214" s="53">
        <v>-30000</v>
      </c>
      <c r="I214" s="69">
        <f t="shared" si="36"/>
        <v>0</v>
      </c>
      <c r="J214" s="69">
        <v>40000</v>
      </c>
      <c r="K214" s="53">
        <f t="shared" si="37"/>
        <v>41680</v>
      </c>
      <c r="L214" s="176">
        <f t="shared" si="38"/>
        <v>43513.919999999998</v>
      </c>
      <c r="O214" s="190"/>
    </row>
    <row r="215" spans="1:15" x14ac:dyDescent="0.3">
      <c r="A215" s="52" t="s">
        <v>1001</v>
      </c>
      <c r="B215" s="52" t="s">
        <v>788</v>
      </c>
      <c r="C215" s="54">
        <v>280000</v>
      </c>
      <c r="D215" s="54"/>
      <c r="E215" s="54">
        <f t="shared" si="28"/>
        <v>280000</v>
      </c>
      <c r="F215" s="54"/>
      <c r="G215" s="53">
        <f t="shared" si="35"/>
        <v>280000</v>
      </c>
      <c r="H215" s="53"/>
      <c r="I215" s="69">
        <f t="shared" si="36"/>
        <v>280000</v>
      </c>
      <c r="J215" s="69">
        <v>240000</v>
      </c>
      <c r="K215" s="53">
        <f>(J215*104.2%)</f>
        <v>250080</v>
      </c>
      <c r="L215" s="176">
        <f>((K215*104.4%))-54436.4672828614</f>
        <v>206647.05271713855</v>
      </c>
      <c r="O215" s="190"/>
    </row>
    <row r="216" spans="1:15" x14ac:dyDescent="0.3">
      <c r="A216" s="52"/>
      <c r="B216" s="51" t="s">
        <v>944</v>
      </c>
      <c r="C216" s="54"/>
      <c r="D216" s="54"/>
      <c r="E216" s="54">
        <f t="shared" si="28"/>
        <v>0</v>
      </c>
      <c r="F216" s="54"/>
      <c r="G216" s="53">
        <f t="shared" si="35"/>
        <v>0</v>
      </c>
      <c r="H216" s="53"/>
      <c r="I216" s="69">
        <f t="shared" si="36"/>
        <v>0</v>
      </c>
      <c r="J216" s="69"/>
      <c r="K216" s="53">
        <f t="shared" si="37"/>
        <v>0</v>
      </c>
      <c r="L216" s="176">
        <f t="shared" si="38"/>
        <v>0</v>
      </c>
      <c r="O216" s="190"/>
    </row>
    <row r="217" spans="1:15" x14ac:dyDescent="0.3">
      <c r="A217" s="52" t="s">
        <v>1002</v>
      </c>
      <c r="B217" s="52" t="s">
        <v>789</v>
      </c>
      <c r="C217" s="54">
        <v>100000</v>
      </c>
      <c r="D217" s="54"/>
      <c r="E217" s="54">
        <f t="shared" si="28"/>
        <v>100000</v>
      </c>
      <c r="F217" s="54"/>
      <c r="G217" s="53">
        <f t="shared" si="35"/>
        <v>100000</v>
      </c>
      <c r="H217" s="53">
        <v>-100000</v>
      </c>
      <c r="I217" s="69">
        <f t="shared" si="36"/>
        <v>0</v>
      </c>
      <c r="J217" s="69">
        <v>80000</v>
      </c>
      <c r="K217" s="53">
        <f t="shared" si="37"/>
        <v>83360</v>
      </c>
      <c r="L217" s="176">
        <f t="shared" si="38"/>
        <v>87027.839999999997</v>
      </c>
      <c r="O217" s="190"/>
    </row>
    <row r="218" spans="1:15" x14ac:dyDescent="0.3">
      <c r="A218" s="52" t="s">
        <v>1522</v>
      </c>
      <c r="B218" s="52" t="s">
        <v>790</v>
      </c>
      <c r="C218" s="54">
        <v>30000</v>
      </c>
      <c r="D218" s="54"/>
      <c r="E218" s="54">
        <f t="shared" si="28"/>
        <v>30000</v>
      </c>
      <c r="F218" s="54"/>
      <c r="G218" s="53">
        <f t="shared" si="35"/>
        <v>30000</v>
      </c>
      <c r="H218" s="53">
        <v>-30000</v>
      </c>
      <c r="I218" s="69">
        <f t="shared" si="36"/>
        <v>0</v>
      </c>
      <c r="J218" s="69">
        <v>30000</v>
      </c>
      <c r="K218" s="53">
        <f t="shared" si="37"/>
        <v>31260</v>
      </c>
      <c r="L218" s="176">
        <f t="shared" si="38"/>
        <v>32635.440000000002</v>
      </c>
      <c r="O218" s="190"/>
    </row>
    <row r="219" spans="1:15" x14ac:dyDescent="0.3">
      <c r="A219" s="52" t="s">
        <v>1003</v>
      </c>
      <c r="B219" s="52" t="s">
        <v>791</v>
      </c>
      <c r="C219" s="54">
        <v>30000</v>
      </c>
      <c r="D219" s="54"/>
      <c r="E219" s="54">
        <f t="shared" si="28"/>
        <v>30000</v>
      </c>
      <c r="F219" s="54"/>
      <c r="G219" s="53">
        <f t="shared" si="35"/>
        <v>30000</v>
      </c>
      <c r="H219" s="53">
        <v>-30000</v>
      </c>
      <c r="I219" s="69">
        <f t="shared" si="36"/>
        <v>0</v>
      </c>
      <c r="J219" s="69">
        <v>30000</v>
      </c>
      <c r="K219" s="53">
        <f t="shared" si="37"/>
        <v>31260</v>
      </c>
      <c r="L219" s="176">
        <f t="shared" si="38"/>
        <v>32635.440000000002</v>
      </c>
      <c r="O219" s="190"/>
    </row>
    <row r="220" spans="1:15" x14ac:dyDescent="0.3">
      <c r="A220" s="52" t="s">
        <v>1004</v>
      </c>
      <c r="B220" s="52" t="s">
        <v>792</v>
      </c>
      <c r="C220" s="54">
        <v>100000</v>
      </c>
      <c r="D220" s="54"/>
      <c r="E220" s="54">
        <f t="shared" si="28"/>
        <v>100000</v>
      </c>
      <c r="F220" s="54"/>
      <c r="G220" s="53">
        <f t="shared" si="35"/>
        <v>100000</v>
      </c>
      <c r="H220" s="53">
        <v>-20000</v>
      </c>
      <c r="I220" s="69">
        <f t="shared" si="36"/>
        <v>80000</v>
      </c>
      <c r="J220" s="69">
        <v>100000</v>
      </c>
      <c r="K220" s="53">
        <f t="shared" si="37"/>
        <v>104200</v>
      </c>
      <c r="L220" s="176">
        <f t="shared" si="38"/>
        <v>108784.8</v>
      </c>
      <c r="O220" s="190"/>
    </row>
    <row r="221" spans="1:15" x14ac:dyDescent="0.3">
      <c r="A221" s="52"/>
      <c r="B221" s="51" t="s">
        <v>943</v>
      </c>
      <c r="C221" s="54"/>
      <c r="D221" s="54"/>
      <c r="E221" s="54">
        <f t="shared" si="28"/>
        <v>0</v>
      </c>
      <c r="F221" s="54"/>
      <c r="G221" s="53">
        <f t="shared" si="35"/>
        <v>0</v>
      </c>
      <c r="H221" s="53"/>
      <c r="I221" s="69">
        <f t="shared" si="36"/>
        <v>0</v>
      </c>
      <c r="J221" s="69"/>
      <c r="K221" s="53">
        <f t="shared" si="37"/>
        <v>0</v>
      </c>
      <c r="L221" s="176">
        <f t="shared" si="38"/>
        <v>0</v>
      </c>
      <c r="O221" s="190"/>
    </row>
    <row r="222" spans="1:15" x14ac:dyDescent="0.3">
      <c r="A222" s="52" t="s">
        <v>1005</v>
      </c>
      <c r="B222" s="52" t="s">
        <v>793</v>
      </c>
      <c r="C222" s="54">
        <v>120000</v>
      </c>
      <c r="D222" s="54"/>
      <c r="E222" s="54">
        <f t="shared" si="28"/>
        <v>120000</v>
      </c>
      <c r="F222" s="54"/>
      <c r="G222" s="53">
        <f t="shared" si="35"/>
        <v>120000</v>
      </c>
      <c r="H222" s="53">
        <v>-50000</v>
      </c>
      <c r="I222" s="69">
        <f t="shared" si="36"/>
        <v>70000</v>
      </c>
      <c r="J222" s="69">
        <v>120000</v>
      </c>
      <c r="K222" s="53">
        <f t="shared" si="37"/>
        <v>125040</v>
      </c>
      <c r="L222" s="176">
        <f t="shared" si="38"/>
        <v>130541.76000000001</v>
      </c>
      <c r="O222" s="190"/>
    </row>
    <row r="223" spans="1:15" x14ac:dyDescent="0.3">
      <c r="A223" s="52" t="s">
        <v>1006</v>
      </c>
      <c r="B223" s="52" t="s">
        <v>794</v>
      </c>
      <c r="C223" s="54">
        <v>100000</v>
      </c>
      <c r="D223" s="54"/>
      <c r="E223" s="54">
        <f t="shared" si="28"/>
        <v>100000</v>
      </c>
      <c r="F223" s="54"/>
      <c r="G223" s="53">
        <f t="shared" si="35"/>
        <v>100000</v>
      </c>
      <c r="H223" s="53">
        <v>-100000</v>
      </c>
      <c r="I223" s="69">
        <f t="shared" si="36"/>
        <v>0</v>
      </c>
      <c r="J223" s="69">
        <v>100000</v>
      </c>
      <c r="K223" s="53">
        <f t="shared" si="37"/>
        <v>104200</v>
      </c>
      <c r="L223" s="176">
        <f t="shared" si="38"/>
        <v>108784.8</v>
      </c>
      <c r="O223" s="190"/>
    </row>
    <row r="224" spans="1:15" x14ac:dyDescent="0.3">
      <c r="A224" s="52" t="s">
        <v>1007</v>
      </c>
      <c r="B224" s="52" t="s">
        <v>795</v>
      </c>
      <c r="C224" s="54">
        <v>30000</v>
      </c>
      <c r="D224" s="54"/>
      <c r="E224" s="54">
        <f t="shared" si="28"/>
        <v>30000</v>
      </c>
      <c r="F224" s="54"/>
      <c r="G224" s="53">
        <f t="shared" si="35"/>
        <v>30000</v>
      </c>
      <c r="H224" s="53"/>
      <c r="I224" s="69">
        <f t="shared" si="36"/>
        <v>30000</v>
      </c>
      <c r="J224" s="69">
        <v>30000</v>
      </c>
      <c r="K224" s="53">
        <f t="shared" si="37"/>
        <v>31260</v>
      </c>
      <c r="L224" s="176">
        <f t="shared" si="38"/>
        <v>32635.440000000002</v>
      </c>
      <c r="O224" s="190"/>
    </row>
    <row r="225" spans="1:15" x14ac:dyDescent="0.3">
      <c r="A225" s="52" t="s">
        <v>1008</v>
      </c>
      <c r="B225" s="52" t="s">
        <v>796</v>
      </c>
      <c r="C225" s="54">
        <v>30000</v>
      </c>
      <c r="D225" s="54"/>
      <c r="E225" s="54">
        <f t="shared" si="28"/>
        <v>30000</v>
      </c>
      <c r="F225" s="54"/>
      <c r="G225" s="53">
        <f t="shared" si="35"/>
        <v>30000</v>
      </c>
      <c r="H225" s="53">
        <v>20400</v>
      </c>
      <c r="I225" s="69">
        <f t="shared" si="36"/>
        <v>50400</v>
      </c>
      <c r="J225" s="69">
        <v>30000</v>
      </c>
      <c r="K225" s="53">
        <f t="shared" si="37"/>
        <v>31260</v>
      </c>
      <c r="L225" s="176">
        <f t="shared" si="38"/>
        <v>32635.440000000002</v>
      </c>
      <c r="O225" s="190"/>
    </row>
    <row r="226" spans="1:15" x14ac:dyDescent="0.3">
      <c r="A226" s="52"/>
      <c r="B226" s="51" t="s">
        <v>942</v>
      </c>
      <c r="C226" s="54"/>
      <c r="D226" s="54"/>
      <c r="E226" s="54">
        <f t="shared" si="28"/>
        <v>0</v>
      </c>
      <c r="F226" s="54"/>
      <c r="G226" s="53">
        <f t="shared" si="35"/>
        <v>0</v>
      </c>
      <c r="H226" s="53"/>
      <c r="I226" s="69">
        <f t="shared" si="36"/>
        <v>0</v>
      </c>
      <c r="J226" s="69"/>
      <c r="K226" s="53">
        <f t="shared" si="37"/>
        <v>0</v>
      </c>
      <c r="L226" s="176">
        <f t="shared" si="38"/>
        <v>0</v>
      </c>
      <c r="O226" s="190"/>
    </row>
    <row r="227" spans="1:15" x14ac:dyDescent="0.3">
      <c r="A227" s="52" t="s">
        <v>1009</v>
      </c>
      <c r="B227" s="52" t="s">
        <v>797</v>
      </c>
      <c r="C227" s="54">
        <v>100000</v>
      </c>
      <c r="D227" s="54"/>
      <c r="E227" s="54">
        <f t="shared" si="28"/>
        <v>100000</v>
      </c>
      <c r="F227" s="54"/>
      <c r="G227" s="53">
        <f t="shared" si="35"/>
        <v>100000</v>
      </c>
      <c r="H227" s="53">
        <v>-30000</v>
      </c>
      <c r="I227" s="69">
        <f t="shared" si="36"/>
        <v>70000</v>
      </c>
      <c r="J227" s="69">
        <v>60000</v>
      </c>
      <c r="K227" s="53">
        <f t="shared" si="37"/>
        <v>62520</v>
      </c>
      <c r="L227" s="176">
        <f t="shared" si="38"/>
        <v>65270.880000000005</v>
      </c>
      <c r="O227" s="190"/>
    </row>
    <row r="228" spans="1:15" x14ac:dyDescent="0.3">
      <c r="A228" s="52" t="s">
        <v>1010</v>
      </c>
      <c r="B228" s="52" t="s">
        <v>798</v>
      </c>
      <c r="C228" s="54">
        <v>60000</v>
      </c>
      <c r="D228" s="54"/>
      <c r="E228" s="54">
        <f t="shared" si="28"/>
        <v>60000</v>
      </c>
      <c r="F228" s="54"/>
      <c r="G228" s="53">
        <f t="shared" si="35"/>
        <v>60000</v>
      </c>
      <c r="H228" s="53"/>
      <c r="I228" s="69">
        <f t="shared" si="36"/>
        <v>60000</v>
      </c>
      <c r="J228" s="69">
        <v>60000</v>
      </c>
      <c r="K228" s="53">
        <f t="shared" si="37"/>
        <v>62520</v>
      </c>
      <c r="L228" s="176">
        <f t="shared" si="38"/>
        <v>65270.880000000005</v>
      </c>
      <c r="O228" s="190"/>
    </row>
    <row r="229" spans="1:15" x14ac:dyDescent="0.3">
      <c r="A229" s="52" t="s">
        <v>1011</v>
      </c>
      <c r="B229" s="52" t="s">
        <v>799</v>
      </c>
      <c r="C229" s="54">
        <v>50000</v>
      </c>
      <c r="D229" s="54"/>
      <c r="E229" s="54">
        <f t="shared" si="28"/>
        <v>50000</v>
      </c>
      <c r="F229" s="54"/>
      <c r="G229" s="53">
        <f t="shared" si="35"/>
        <v>50000</v>
      </c>
      <c r="H229" s="53">
        <v>-30000</v>
      </c>
      <c r="I229" s="69">
        <f t="shared" si="36"/>
        <v>20000</v>
      </c>
      <c r="J229" s="69">
        <v>50000</v>
      </c>
      <c r="K229" s="53">
        <f t="shared" si="37"/>
        <v>52100</v>
      </c>
      <c r="L229" s="176">
        <f t="shared" si="38"/>
        <v>54392.4</v>
      </c>
      <c r="O229" s="190"/>
    </row>
    <row r="230" spans="1:15" x14ac:dyDescent="0.3">
      <c r="A230" s="52" t="s">
        <v>1486</v>
      </c>
      <c r="B230" s="52" t="s">
        <v>1410</v>
      </c>
      <c r="C230" s="54"/>
      <c r="D230" s="54"/>
      <c r="E230" s="54"/>
      <c r="F230" s="54"/>
      <c r="G230" s="53"/>
      <c r="H230" s="53"/>
      <c r="I230" s="69"/>
      <c r="J230" s="69">
        <v>20000</v>
      </c>
      <c r="K230" s="53">
        <f t="shared" si="37"/>
        <v>20840</v>
      </c>
      <c r="L230" s="176">
        <f t="shared" si="38"/>
        <v>21756.959999999999</v>
      </c>
      <c r="O230" s="190"/>
    </row>
    <row r="231" spans="1:15" x14ac:dyDescent="0.3">
      <c r="A231" s="52" t="s">
        <v>1523</v>
      </c>
      <c r="B231" s="52" t="s">
        <v>800</v>
      </c>
      <c r="C231" s="54">
        <v>80000</v>
      </c>
      <c r="D231" s="54"/>
      <c r="E231" s="54">
        <f t="shared" si="28"/>
        <v>80000</v>
      </c>
      <c r="F231" s="54"/>
      <c r="G231" s="53">
        <f t="shared" si="35"/>
        <v>80000</v>
      </c>
      <c r="H231" s="53"/>
      <c r="I231" s="69">
        <f t="shared" si="36"/>
        <v>80000</v>
      </c>
      <c r="J231" s="69">
        <v>80000</v>
      </c>
      <c r="K231" s="53">
        <f t="shared" si="37"/>
        <v>83360</v>
      </c>
      <c r="L231" s="176">
        <f t="shared" si="38"/>
        <v>87027.839999999997</v>
      </c>
      <c r="O231" s="190"/>
    </row>
    <row r="232" spans="1:15" x14ac:dyDescent="0.3">
      <c r="A232" s="52"/>
      <c r="B232" s="51" t="s">
        <v>941</v>
      </c>
      <c r="C232" s="54"/>
      <c r="D232" s="54"/>
      <c r="E232" s="54">
        <f t="shared" si="28"/>
        <v>0</v>
      </c>
      <c r="F232" s="54"/>
      <c r="G232" s="53">
        <f t="shared" si="35"/>
        <v>0</v>
      </c>
      <c r="H232" s="53"/>
      <c r="I232" s="69">
        <f t="shared" si="36"/>
        <v>0</v>
      </c>
      <c r="J232" s="69"/>
      <c r="K232" s="53">
        <f t="shared" si="37"/>
        <v>0</v>
      </c>
      <c r="L232" s="176">
        <f t="shared" si="38"/>
        <v>0</v>
      </c>
      <c r="O232" s="190"/>
    </row>
    <row r="233" spans="1:15" x14ac:dyDescent="0.3">
      <c r="A233" s="52" t="s">
        <v>1012</v>
      </c>
      <c r="B233" s="52" t="s">
        <v>801</v>
      </c>
      <c r="C233" s="54">
        <v>20000</v>
      </c>
      <c r="D233" s="54"/>
      <c r="E233" s="54">
        <f t="shared" si="28"/>
        <v>20000</v>
      </c>
      <c r="F233" s="54"/>
      <c r="G233" s="53">
        <f t="shared" si="35"/>
        <v>20000</v>
      </c>
      <c r="H233" s="53">
        <v>-16000</v>
      </c>
      <c r="I233" s="69">
        <f t="shared" si="36"/>
        <v>4000</v>
      </c>
      <c r="J233" s="69">
        <v>20000</v>
      </c>
      <c r="K233" s="53">
        <f t="shared" si="37"/>
        <v>20840</v>
      </c>
      <c r="L233" s="176">
        <f t="shared" si="38"/>
        <v>21756.959999999999</v>
      </c>
      <c r="O233" s="190"/>
    </row>
    <row r="234" spans="1:15" x14ac:dyDescent="0.3">
      <c r="A234" s="52" t="s">
        <v>1013</v>
      </c>
      <c r="B234" s="52" t="s">
        <v>802</v>
      </c>
      <c r="C234" s="54">
        <v>15000</v>
      </c>
      <c r="D234" s="54"/>
      <c r="E234" s="54">
        <f t="shared" si="28"/>
        <v>15000</v>
      </c>
      <c r="F234" s="54"/>
      <c r="G234" s="53">
        <f t="shared" si="35"/>
        <v>15000</v>
      </c>
      <c r="H234" s="53">
        <v>-15000</v>
      </c>
      <c r="I234" s="69">
        <f t="shared" si="36"/>
        <v>0</v>
      </c>
      <c r="J234" s="69">
        <v>15000</v>
      </c>
      <c r="K234" s="53">
        <f t="shared" si="37"/>
        <v>15630</v>
      </c>
      <c r="L234" s="176">
        <f t="shared" si="38"/>
        <v>16317.720000000001</v>
      </c>
      <c r="O234" s="190"/>
    </row>
    <row r="235" spans="1:15" x14ac:dyDescent="0.3">
      <c r="A235" s="52"/>
      <c r="B235" s="51" t="s">
        <v>940</v>
      </c>
      <c r="C235" s="54"/>
      <c r="D235" s="54"/>
      <c r="E235" s="54">
        <f t="shared" si="28"/>
        <v>0</v>
      </c>
      <c r="F235" s="54"/>
      <c r="G235" s="53">
        <f t="shared" si="35"/>
        <v>0</v>
      </c>
      <c r="H235" s="53"/>
      <c r="I235" s="69">
        <f t="shared" si="36"/>
        <v>0</v>
      </c>
      <c r="J235" s="69"/>
      <c r="K235" s="53">
        <f t="shared" si="37"/>
        <v>0</v>
      </c>
      <c r="L235" s="176">
        <f t="shared" si="38"/>
        <v>0</v>
      </c>
      <c r="O235" s="190"/>
    </row>
    <row r="236" spans="1:15" x14ac:dyDescent="0.3">
      <c r="A236" s="52" t="s">
        <v>1014</v>
      </c>
      <c r="B236" s="52" t="s">
        <v>803</v>
      </c>
      <c r="C236" s="54">
        <v>45000</v>
      </c>
      <c r="D236" s="54"/>
      <c r="E236" s="54">
        <f t="shared" si="28"/>
        <v>45000</v>
      </c>
      <c r="F236" s="54"/>
      <c r="G236" s="53">
        <f t="shared" si="35"/>
        <v>45000</v>
      </c>
      <c r="H236" s="53">
        <v>20000</v>
      </c>
      <c r="I236" s="69">
        <f t="shared" si="36"/>
        <v>65000</v>
      </c>
      <c r="J236" s="69">
        <v>30000</v>
      </c>
      <c r="K236" s="53">
        <f t="shared" si="37"/>
        <v>31260</v>
      </c>
      <c r="L236" s="176">
        <f t="shared" si="38"/>
        <v>32635.440000000002</v>
      </c>
      <c r="O236" s="190"/>
    </row>
    <row r="237" spans="1:15" x14ac:dyDescent="0.3">
      <c r="A237" s="52" t="s">
        <v>1015</v>
      </c>
      <c r="B237" s="52" t="s">
        <v>804</v>
      </c>
      <c r="C237" s="54">
        <v>30000</v>
      </c>
      <c r="D237" s="54"/>
      <c r="E237" s="54">
        <f t="shared" si="28"/>
        <v>30000</v>
      </c>
      <c r="F237" s="54"/>
      <c r="G237" s="53">
        <f t="shared" si="35"/>
        <v>30000</v>
      </c>
      <c r="H237" s="53"/>
      <c r="I237" s="69">
        <f t="shared" si="36"/>
        <v>30000</v>
      </c>
      <c r="J237" s="69">
        <v>30000</v>
      </c>
      <c r="K237" s="53">
        <f t="shared" si="37"/>
        <v>31260</v>
      </c>
      <c r="L237" s="176">
        <f t="shared" si="38"/>
        <v>32635.440000000002</v>
      </c>
      <c r="O237" s="190"/>
    </row>
    <row r="238" spans="1:15" x14ac:dyDescent="0.3">
      <c r="A238" s="52" t="s">
        <v>1487</v>
      </c>
      <c r="B238" s="52" t="s">
        <v>805</v>
      </c>
      <c r="C238" s="54">
        <v>10000</v>
      </c>
      <c r="D238" s="54"/>
      <c r="E238" s="54">
        <f t="shared" si="28"/>
        <v>10000</v>
      </c>
      <c r="F238" s="54"/>
      <c r="G238" s="53">
        <f t="shared" si="35"/>
        <v>10000</v>
      </c>
      <c r="H238" s="53">
        <v>15000</v>
      </c>
      <c r="I238" s="69">
        <f t="shared" si="36"/>
        <v>25000</v>
      </c>
      <c r="J238" s="69">
        <v>10000</v>
      </c>
      <c r="K238" s="53">
        <f t="shared" si="37"/>
        <v>10420</v>
      </c>
      <c r="L238" s="176">
        <f t="shared" si="38"/>
        <v>10878.48</v>
      </c>
      <c r="O238" s="190"/>
    </row>
    <row r="239" spans="1:15" x14ac:dyDescent="0.3">
      <c r="A239" s="52" t="s">
        <v>1016</v>
      </c>
      <c r="B239" s="52" t="s">
        <v>806</v>
      </c>
      <c r="C239" s="54">
        <v>50000</v>
      </c>
      <c r="D239" s="54"/>
      <c r="E239" s="54">
        <f t="shared" si="28"/>
        <v>50000</v>
      </c>
      <c r="F239" s="54"/>
      <c r="G239" s="53">
        <f t="shared" si="35"/>
        <v>50000</v>
      </c>
      <c r="H239" s="53">
        <v>20000</v>
      </c>
      <c r="I239" s="69">
        <f t="shared" si="36"/>
        <v>70000</v>
      </c>
      <c r="J239" s="69">
        <v>50000</v>
      </c>
      <c r="K239" s="53">
        <f t="shared" ref="K239:K270" si="39">J239*104.2%</f>
        <v>52100</v>
      </c>
      <c r="L239" s="176">
        <f t="shared" ref="L239:L270" si="40">K239*104.4%</f>
        <v>54392.4</v>
      </c>
      <c r="O239" s="190"/>
    </row>
    <row r="240" spans="1:15" x14ac:dyDescent="0.3">
      <c r="A240" s="52"/>
      <c r="B240" s="51" t="s">
        <v>939</v>
      </c>
      <c r="C240" s="54"/>
      <c r="D240" s="54"/>
      <c r="E240" s="54">
        <f t="shared" si="28"/>
        <v>0</v>
      </c>
      <c r="F240" s="54"/>
      <c r="G240" s="53">
        <f t="shared" si="35"/>
        <v>0</v>
      </c>
      <c r="H240" s="53"/>
      <c r="I240" s="69">
        <f t="shared" si="36"/>
        <v>0</v>
      </c>
      <c r="J240" s="69"/>
      <c r="K240" s="53">
        <f t="shared" si="39"/>
        <v>0</v>
      </c>
      <c r="L240" s="176">
        <f t="shared" si="40"/>
        <v>0</v>
      </c>
      <c r="O240" s="190"/>
    </row>
    <row r="241" spans="1:15" x14ac:dyDescent="0.3">
      <c r="A241" s="52" t="s">
        <v>1017</v>
      </c>
      <c r="B241" s="52" t="s">
        <v>807</v>
      </c>
      <c r="C241" s="54">
        <v>45000</v>
      </c>
      <c r="D241" s="54"/>
      <c r="E241" s="54">
        <f t="shared" ref="E241:E320" si="41">C241+D241</f>
        <v>45000</v>
      </c>
      <c r="F241" s="54"/>
      <c r="G241" s="53">
        <f t="shared" si="35"/>
        <v>45000</v>
      </c>
      <c r="H241" s="53">
        <v>-45000</v>
      </c>
      <c r="I241" s="69">
        <f t="shared" ref="I241:I275" si="42">G241+H241</f>
        <v>0</v>
      </c>
      <c r="J241" s="69">
        <v>30000</v>
      </c>
      <c r="K241" s="53">
        <f t="shared" si="39"/>
        <v>31260</v>
      </c>
      <c r="L241" s="176">
        <f t="shared" si="40"/>
        <v>32635.440000000002</v>
      </c>
      <c r="O241" s="190"/>
    </row>
    <row r="242" spans="1:15" x14ac:dyDescent="0.3">
      <c r="A242" s="52" t="s">
        <v>1018</v>
      </c>
      <c r="B242" s="52" t="s">
        <v>808</v>
      </c>
      <c r="C242" s="54">
        <v>30000</v>
      </c>
      <c r="D242" s="54"/>
      <c r="E242" s="54">
        <f t="shared" si="41"/>
        <v>30000</v>
      </c>
      <c r="F242" s="54"/>
      <c r="G242" s="53">
        <f t="shared" si="35"/>
        <v>30000</v>
      </c>
      <c r="H242" s="53">
        <v>-30000</v>
      </c>
      <c r="I242" s="69">
        <f t="shared" si="42"/>
        <v>0</v>
      </c>
      <c r="J242" s="69">
        <v>30000</v>
      </c>
      <c r="K242" s="53">
        <f t="shared" si="39"/>
        <v>31260</v>
      </c>
      <c r="L242" s="176">
        <f t="shared" si="40"/>
        <v>32635.440000000002</v>
      </c>
      <c r="O242" s="190"/>
    </row>
    <row r="243" spans="1:15" x14ac:dyDescent="0.3">
      <c r="A243" s="52" t="s">
        <v>1019</v>
      </c>
      <c r="B243" s="52" t="s">
        <v>809</v>
      </c>
      <c r="C243" s="54">
        <v>70000</v>
      </c>
      <c r="D243" s="54"/>
      <c r="E243" s="54">
        <f t="shared" si="41"/>
        <v>70000</v>
      </c>
      <c r="F243" s="54"/>
      <c r="G243" s="53">
        <f t="shared" si="35"/>
        <v>70000</v>
      </c>
      <c r="H243" s="53">
        <v>-70000</v>
      </c>
      <c r="I243" s="69">
        <f t="shared" si="42"/>
        <v>0</v>
      </c>
      <c r="J243" s="69">
        <v>60000</v>
      </c>
      <c r="K243" s="53">
        <f t="shared" si="39"/>
        <v>62520</v>
      </c>
      <c r="L243" s="176">
        <f t="shared" si="40"/>
        <v>65270.880000000005</v>
      </c>
      <c r="O243" s="190"/>
    </row>
    <row r="244" spans="1:15" x14ac:dyDescent="0.3">
      <c r="A244" s="52"/>
      <c r="B244" s="51" t="s">
        <v>938</v>
      </c>
      <c r="C244" s="54"/>
      <c r="D244" s="54"/>
      <c r="E244" s="54">
        <f t="shared" si="41"/>
        <v>0</v>
      </c>
      <c r="F244" s="54"/>
      <c r="G244" s="53">
        <f t="shared" si="35"/>
        <v>0</v>
      </c>
      <c r="H244" s="53"/>
      <c r="I244" s="69">
        <f t="shared" si="42"/>
        <v>0</v>
      </c>
      <c r="J244" s="69"/>
      <c r="K244" s="53">
        <f t="shared" si="39"/>
        <v>0</v>
      </c>
      <c r="L244" s="176">
        <f t="shared" si="40"/>
        <v>0</v>
      </c>
      <c r="O244" s="190"/>
    </row>
    <row r="245" spans="1:15" x14ac:dyDescent="0.3">
      <c r="A245" s="52" t="s">
        <v>1020</v>
      </c>
      <c r="B245" s="52" t="s">
        <v>810</v>
      </c>
      <c r="C245" s="54">
        <v>100000</v>
      </c>
      <c r="D245" s="54"/>
      <c r="E245" s="54">
        <f t="shared" si="41"/>
        <v>100000</v>
      </c>
      <c r="F245" s="54"/>
      <c r="G245" s="53">
        <f t="shared" si="35"/>
        <v>100000</v>
      </c>
      <c r="H245" s="53">
        <v>45000</v>
      </c>
      <c r="I245" s="69">
        <f t="shared" si="42"/>
        <v>145000</v>
      </c>
      <c r="J245" s="69">
        <v>60000</v>
      </c>
      <c r="K245" s="53">
        <f t="shared" si="39"/>
        <v>62520</v>
      </c>
      <c r="L245" s="176">
        <f t="shared" si="40"/>
        <v>65270.880000000005</v>
      </c>
      <c r="O245" s="190"/>
    </row>
    <row r="246" spans="1:15" x14ac:dyDescent="0.3">
      <c r="A246" s="52" t="s">
        <v>1021</v>
      </c>
      <c r="B246" s="52" t="s">
        <v>811</v>
      </c>
      <c r="C246" s="54">
        <v>60000</v>
      </c>
      <c r="D246" s="54"/>
      <c r="E246" s="54">
        <f t="shared" si="41"/>
        <v>60000</v>
      </c>
      <c r="F246" s="54"/>
      <c r="G246" s="53">
        <f t="shared" si="35"/>
        <v>60000</v>
      </c>
      <c r="H246" s="53">
        <v>70000</v>
      </c>
      <c r="I246" s="69">
        <f t="shared" si="42"/>
        <v>130000</v>
      </c>
      <c r="J246" s="69">
        <v>80000</v>
      </c>
      <c r="K246" s="53">
        <f t="shared" si="39"/>
        <v>83360</v>
      </c>
      <c r="L246" s="176">
        <f t="shared" si="40"/>
        <v>87027.839999999997</v>
      </c>
      <c r="O246" s="190"/>
    </row>
    <row r="247" spans="1:15" x14ac:dyDescent="0.3">
      <c r="A247" s="52" t="s">
        <v>1520</v>
      </c>
      <c r="B247" s="52" t="s">
        <v>1411</v>
      </c>
      <c r="C247" s="54"/>
      <c r="D247" s="54"/>
      <c r="E247" s="54"/>
      <c r="F247" s="54"/>
      <c r="G247" s="53"/>
      <c r="H247" s="53"/>
      <c r="I247" s="69"/>
      <c r="J247" s="69">
        <v>20000</v>
      </c>
      <c r="K247" s="53">
        <f t="shared" si="39"/>
        <v>20840</v>
      </c>
      <c r="L247" s="176">
        <f t="shared" si="40"/>
        <v>21756.959999999999</v>
      </c>
      <c r="O247" s="190"/>
    </row>
    <row r="248" spans="1:15" x14ac:dyDescent="0.3">
      <c r="A248" s="52" t="s">
        <v>1022</v>
      </c>
      <c r="B248" s="52" t="s">
        <v>812</v>
      </c>
      <c r="C248" s="54">
        <v>60000</v>
      </c>
      <c r="D248" s="54"/>
      <c r="E248" s="54">
        <f t="shared" si="41"/>
        <v>60000</v>
      </c>
      <c r="F248" s="54"/>
      <c r="G248" s="53">
        <f t="shared" si="35"/>
        <v>60000</v>
      </c>
      <c r="H248" s="53">
        <v>40000</v>
      </c>
      <c r="I248" s="69">
        <f t="shared" si="42"/>
        <v>100000</v>
      </c>
      <c r="J248" s="69">
        <v>60000</v>
      </c>
      <c r="K248" s="53">
        <f t="shared" si="39"/>
        <v>62520</v>
      </c>
      <c r="L248" s="176">
        <f t="shared" si="40"/>
        <v>65270.880000000005</v>
      </c>
      <c r="O248" s="190"/>
    </row>
    <row r="249" spans="1:15" x14ac:dyDescent="0.3">
      <c r="A249" s="52" t="s">
        <v>1023</v>
      </c>
      <c r="B249" s="52" t="s">
        <v>162</v>
      </c>
      <c r="C249" s="54">
        <v>400000</v>
      </c>
      <c r="D249" s="54"/>
      <c r="E249" s="54">
        <f t="shared" si="41"/>
        <v>400000</v>
      </c>
      <c r="F249" s="54"/>
      <c r="G249" s="53">
        <f t="shared" si="35"/>
        <v>400000</v>
      </c>
      <c r="H249" s="53">
        <f>240000+13762.06</f>
        <v>253762.06</v>
      </c>
      <c r="I249" s="69">
        <f t="shared" si="42"/>
        <v>653762.06000000006</v>
      </c>
      <c r="J249" s="69">
        <v>400000</v>
      </c>
      <c r="K249" s="53">
        <f t="shared" si="39"/>
        <v>416800</v>
      </c>
      <c r="L249" s="176">
        <f t="shared" si="40"/>
        <v>435139.2</v>
      </c>
      <c r="O249" s="190"/>
    </row>
    <row r="250" spans="1:15" x14ac:dyDescent="0.3">
      <c r="A250" s="52"/>
      <c r="B250" s="52"/>
      <c r="C250" s="54"/>
      <c r="D250" s="54"/>
      <c r="E250" s="54">
        <f t="shared" si="41"/>
        <v>0</v>
      </c>
      <c r="F250" s="54"/>
      <c r="G250" s="53">
        <f t="shared" si="35"/>
        <v>0</v>
      </c>
      <c r="H250" s="53"/>
      <c r="I250" s="69">
        <f t="shared" si="42"/>
        <v>0</v>
      </c>
      <c r="J250" s="69"/>
      <c r="K250" s="53">
        <f t="shared" si="39"/>
        <v>0</v>
      </c>
      <c r="L250" s="176">
        <f t="shared" si="40"/>
        <v>0</v>
      </c>
      <c r="O250" s="190"/>
    </row>
    <row r="251" spans="1:15" x14ac:dyDescent="0.3">
      <c r="A251" s="52"/>
      <c r="B251" s="51" t="s">
        <v>813</v>
      </c>
      <c r="C251" s="54"/>
      <c r="D251" s="54"/>
      <c r="E251" s="54">
        <f t="shared" si="41"/>
        <v>0</v>
      </c>
      <c r="F251" s="54"/>
      <c r="G251" s="53">
        <f t="shared" si="35"/>
        <v>0</v>
      </c>
      <c r="H251" s="53"/>
      <c r="I251" s="69">
        <f t="shared" si="42"/>
        <v>0</v>
      </c>
      <c r="J251" s="69"/>
      <c r="K251" s="53">
        <f t="shared" si="39"/>
        <v>0</v>
      </c>
      <c r="L251" s="176">
        <f t="shared" si="40"/>
        <v>0</v>
      </c>
      <c r="O251" s="190"/>
    </row>
    <row r="252" spans="1:15" x14ac:dyDescent="0.3">
      <c r="A252" s="52" t="s">
        <v>1024</v>
      </c>
      <c r="B252" s="52" t="s">
        <v>1025</v>
      </c>
      <c r="C252" s="54">
        <v>60000</v>
      </c>
      <c r="D252" s="54"/>
      <c r="E252" s="54">
        <f t="shared" si="41"/>
        <v>60000</v>
      </c>
      <c r="F252" s="54"/>
      <c r="G252" s="53">
        <f t="shared" si="35"/>
        <v>60000</v>
      </c>
      <c r="H252" s="53">
        <v>-60000</v>
      </c>
      <c r="I252" s="69">
        <f t="shared" si="42"/>
        <v>0</v>
      </c>
      <c r="J252" s="69">
        <v>60000</v>
      </c>
      <c r="K252" s="53">
        <f t="shared" si="39"/>
        <v>62520</v>
      </c>
      <c r="L252" s="176">
        <f t="shared" si="40"/>
        <v>65270.880000000005</v>
      </c>
      <c r="O252" s="190"/>
    </row>
    <row r="253" spans="1:15" x14ac:dyDescent="0.3">
      <c r="A253" s="52" t="s">
        <v>1028</v>
      </c>
      <c r="B253" s="52" t="s">
        <v>1026</v>
      </c>
      <c r="C253" s="54">
        <v>90000</v>
      </c>
      <c r="D253" s="54"/>
      <c r="E253" s="54">
        <f t="shared" si="41"/>
        <v>90000</v>
      </c>
      <c r="F253" s="54"/>
      <c r="G253" s="53">
        <f t="shared" si="35"/>
        <v>90000</v>
      </c>
      <c r="H253" s="53">
        <v>-62000</v>
      </c>
      <c r="I253" s="69">
        <f t="shared" si="42"/>
        <v>28000</v>
      </c>
      <c r="J253" s="69">
        <v>90000</v>
      </c>
      <c r="K253" s="53">
        <f t="shared" si="39"/>
        <v>93780</v>
      </c>
      <c r="L253" s="176">
        <f t="shared" si="40"/>
        <v>97906.32</v>
      </c>
      <c r="O253" s="190"/>
    </row>
    <row r="254" spans="1:15" x14ac:dyDescent="0.3">
      <c r="A254" s="52" t="s">
        <v>1029</v>
      </c>
      <c r="B254" s="52" t="s">
        <v>1027</v>
      </c>
      <c r="C254" s="54">
        <v>120000</v>
      </c>
      <c r="D254" s="54"/>
      <c r="E254" s="54">
        <f t="shared" si="41"/>
        <v>120000</v>
      </c>
      <c r="F254" s="54"/>
      <c r="G254" s="53">
        <f t="shared" si="35"/>
        <v>120000</v>
      </c>
      <c r="H254" s="53">
        <v>-83400</v>
      </c>
      <c r="I254" s="69">
        <f t="shared" si="42"/>
        <v>36600</v>
      </c>
      <c r="J254" s="69">
        <v>60000</v>
      </c>
      <c r="K254" s="53">
        <f t="shared" si="39"/>
        <v>62520</v>
      </c>
      <c r="L254" s="176">
        <f t="shared" si="40"/>
        <v>65270.880000000005</v>
      </c>
      <c r="O254" s="190"/>
    </row>
    <row r="255" spans="1:15" x14ac:dyDescent="0.3">
      <c r="A255" s="52"/>
      <c r="B255" s="52"/>
      <c r="C255" s="54"/>
      <c r="D255" s="54"/>
      <c r="E255" s="54">
        <f t="shared" si="41"/>
        <v>0</v>
      </c>
      <c r="F255" s="54"/>
      <c r="G255" s="53">
        <f t="shared" si="35"/>
        <v>0</v>
      </c>
      <c r="H255" s="53"/>
      <c r="I255" s="69">
        <f t="shared" si="42"/>
        <v>0</v>
      </c>
      <c r="J255" s="69"/>
      <c r="K255" s="53">
        <f t="shared" si="39"/>
        <v>0</v>
      </c>
      <c r="L255" s="176">
        <f t="shared" si="40"/>
        <v>0</v>
      </c>
      <c r="O255" s="190"/>
    </row>
    <row r="256" spans="1:15" x14ac:dyDescent="0.3">
      <c r="A256" s="52"/>
      <c r="B256" s="51" t="s">
        <v>937</v>
      </c>
      <c r="C256" s="54"/>
      <c r="D256" s="54"/>
      <c r="E256" s="54">
        <f t="shared" si="41"/>
        <v>0</v>
      </c>
      <c r="F256" s="54"/>
      <c r="G256" s="53">
        <f t="shared" si="35"/>
        <v>0</v>
      </c>
      <c r="H256" s="53"/>
      <c r="I256" s="69">
        <f t="shared" si="42"/>
        <v>0</v>
      </c>
      <c r="J256" s="69"/>
      <c r="K256" s="53">
        <f t="shared" si="39"/>
        <v>0</v>
      </c>
      <c r="L256" s="176">
        <f t="shared" si="40"/>
        <v>0</v>
      </c>
      <c r="O256" s="190"/>
    </row>
    <row r="257" spans="1:15" x14ac:dyDescent="0.3">
      <c r="A257" s="52" t="s">
        <v>1032</v>
      </c>
      <c r="B257" s="52" t="s">
        <v>814</v>
      </c>
      <c r="C257" s="54">
        <v>30000</v>
      </c>
      <c r="D257" s="54"/>
      <c r="E257" s="54">
        <f t="shared" si="41"/>
        <v>30000</v>
      </c>
      <c r="F257" s="54"/>
      <c r="G257" s="53">
        <f t="shared" si="35"/>
        <v>30000</v>
      </c>
      <c r="H257" s="53">
        <v>-15000</v>
      </c>
      <c r="I257" s="69">
        <f t="shared" si="42"/>
        <v>15000</v>
      </c>
      <c r="J257" s="69">
        <v>30000</v>
      </c>
      <c r="K257" s="53">
        <f t="shared" si="39"/>
        <v>31260</v>
      </c>
      <c r="L257" s="176">
        <f t="shared" si="40"/>
        <v>32635.440000000002</v>
      </c>
      <c r="O257" s="190"/>
    </row>
    <row r="258" spans="1:15" x14ac:dyDescent="0.3">
      <c r="A258" s="52" t="s">
        <v>1033</v>
      </c>
      <c r="B258" s="52" t="s">
        <v>1031</v>
      </c>
      <c r="C258" s="54">
        <v>30000</v>
      </c>
      <c r="D258" s="54"/>
      <c r="E258" s="54">
        <f t="shared" si="41"/>
        <v>30000</v>
      </c>
      <c r="F258" s="54"/>
      <c r="G258" s="53">
        <f t="shared" si="35"/>
        <v>30000</v>
      </c>
      <c r="H258" s="53">
        <v>-6400</v>
      </c>
      <c r="I258" s="69">
        <f t="shared" si="42"/>
        <v>23600</v>
      </c>
      <c r="J258" s="69">
        <v>50000</v>
      </c>
      <c r="K258" s="53">
        <f t="shared" si="39"/>
        <v>52100</v>
      </c>
      <c r="L258" s="176">
        <f t="shared" si="40"/>
        <v>54392.4</v>
      </c>
      <c r="O258" s="190"/>
    </row>
    <row r="259" spans="1:15" x14ac:dyDescent="0.3">
      <c r="A259" s="52" t="s">
        <v>1034</v>
      </c>
      <c r="B259" s="52" t="s">
        <v>1030</v>
      </c>
      <c r="C259" s="54">
        <v>70000</v>
      </c>
      <c r="D259" s="54"/>
      <c r="E259" s="54">
        <f t="shared" si="41"/>
        <v>70000</v>
      </c>
      <c r="F259" s="54"/>
      <c r="G259" s="53">
        <f t="shared" si="35"/>
        <v>70000</v>
      </c>
      <c r="H259" s="53">
        <v>-70000</v>
      </c>
      <c r="I259" s="69">
        <f t="shared" si="42"/>
        <v>0</v>
      </c>
      <c r="J259" s="69">
        <v>20000</v>
      </c>
      <c r="K259" s="53">
        <f t="shared" si="39"/>
        <v>20840</v>
      </c>
      <c r="L259" s="176">
        <f t="shared" si="40"/>
        <v>21756.959999999999</v>
      </c>
      <c r="O259" s="190"/>
    </row>
    <row r="260" spans="1:15" x14ac:dyDescent="0.3">
      <c r="A260" s="52" t="s">
        <v>1035</v>
      </c>
      <c r="B260" s="52" t="s">
        <v>815</v>
      </c>
      <c r="C260" s="54">
        <v>60000</v>
      </c>
      <c r="D260" s="54"/>
      <c r="E260" s="54">
        <f t="shared" si="41"/>
        <v>60000</v>
      </c>
      <c r="F260" s="54"/>
      <c r="G260" s="53">
        <f t="shared" si="35"/>
        <v>60000</v>
      </c>
      <c r="H260" s="53">
        <v>-36000</v>
      </c>
      <c r="I260" s="69">
        <f t="shared" si="42"/>
        <v>24000</v>
      </c>
      <c r="J260" s="69">
        <v>70000</v>
      </c>
      <c r="K260" s="53">
        <f t="shared" si="39"/>
        <v>72940</v>
      </c>
      <c r="L260" s="176">
        <f t="shared" si="40"/>
        <v>76149.36</v>
      </c>
      <c r="O260" s="190"/>
    </row>
    <row r="261" spans="1:15" x14ac:dyDescent="0.3">
      <c r="A261" s="52"/>
      <c r="B261" s="51" t="s">
        <v>936</v>
      </c>
      <c r="C261" s="54"/>
      <c r="D261" s="54"/>
      <c r="E261" s="54">
        <f t="shared" si="41"/>
        <v>0</v>
      </c>
      <c r="F261" s="54"/>
      <c r="G261" s="53">
        <f t="shared" si="35"/>
        <v>0</v>
      </c>
      <c r="H261" s="53"/>
      <c r="I261" s="69">
        <f t="shared" si="42"/>
        <v>0</v>
      </c>
      <c r="J261" s="69"/>
      <c r="K261" s="53">
        <f t="shared" si="39"/>
        <v>0</v>
      </c>
      <c r="L261" s="176">
        <f t="shared" si="40"/>
        <v>0</v>
      </c>
      <c r="O261" s="190"/>
    </row>
    <row r="262" spans="1:15" x14ac:dyDescent="0.3">
      <c r="A262" s="52" t="s">
        <v>1036</v>
      </c>
      <c r="B262" s="52" t="s">
        <v>816</v>
      </c>
      <c r="C262" s="54">
        <v>30000</v>
      </c>
      <c r="D262" s="54"/>
      <c r="E262" s="54">
        <f t="shared" si="41"/>
        <v>30000</v>
      </c>
      <c r="F262" s="54"/>
      <c r="G262" s="53">
        <f t="shared" si="35"/>
        <v>30000</v>
      </c>
      <c r="H262" s="53"/>
      <c r="I262" s="69">
        <f t="shared" si="42"/>
        <v>30000</v>
      </c>
      <c r="J262" s="69">
        <v>30000</v>
      </c>
      <c r="K262" s="53">
        <f t="shared" si="39"/>
        <v>31260</v>
      </c>
      <c r="L262" s="176">
        <f t="shared" si="40"/>
        <v>32635.440000000002</v>
      </c>
      <c r="O262" s="190"/>
    </row>
    <row r="263" spans="1:15" x14ac:dyDescent="0.3">
      <c r="A263" s="52" t="s">
        <v>1037</v>
      </c>
      <c r="B263" s="52" t="s">
        <v>817</v>
      </c>
      <c r="C263" s="54">
        <v>30000</v>
      </c>
      <c r="D263" s="54"/>
      <c r="E263" s="54">
        <f t="shared" si="41"/>
        <v>30000</v>
      </c>
      <c r="F263" s="54"/>
      <c r="G263" s="53">
        <f t="shared" si="35"/>
        <v>30000</v>
      </c>
      <c r="H263" s="53"/>
      <c r="I263" s="69">
        <f t="shared" si="42"/>
        <v>30000</v>
      </c>
      <c r="J263" s="69">
        <v>40000</v>
      </c>
      <c r="K263" s="53">
        <f t="shared" si="39"/>
        <v>41680</v>
      </c>
      <c r="L263" s="176">
        <f t="shared" si="40"/>
        <v>43513.919999999998</v>
      </c>
      <c r="O263" s="190"/>
    </row>
    <row r="264" spans="1:15" x14ac:dyDescent="0.3">
      <c r="A264" s="52" t="s">
        <v>1038</v>
      </c>
      <c r="B264" s="52" t="s">
        <v>818</v>
      </c>
      <c r="C264" s="54">
        <v>30000</v>
      </c>
      <c r="D264" s="54"/>
      <c r="E264" s="54">
        <f t="shared" si="41"/>
        <v>30000</v>
      </c>
      <c r="F264" s="54"/>
      <c r="G264" s="53">
        <f t="shared" si="35"/>
        <v>30000</v>
      </c>
      <c r="H264" s="53"/>
      <c r="I264" s="69">
        <f t="shared" si="42"/>
        <v>30000</v>
      </c>
      <c r="J264" s="69">
        <v>40000</v>
      </c>
      <c r="K264" s="53">
        <f t="shared" si="39"/>
        <v>41680</v>
      </c>
      <c r="L264" s="176">
        <f t="shared" si="40"/>
        <v>43513.919999999998</v>
      </c>
      <c r="O264" s="190"/>
    </row>
    <row r="265" spans="1:15" x14ac:dyDescent="0.3">
      <c r="A265" s="52"/>
      <c r="B265" s="51" t="s">
        <v>935</v>
      </c>
      <c r="C265" s="54"/>
      <c r="D265" s="54"/>
      <c r="E265" s="54">
        <f t="shared" si="41"/>
        <v>0</v>
      </c>
      <c r="F265" s="54"/>
      <c r="G265" s="53">
        <f t="shared" si="35"/>
        <v>0</v>
      </c>
      <c r="H265" s="53"/>
      <c r="I265" s="69">
        <f t="shared" si="42"/>
        <v>0</v>
      </c>
      <c r="J265" s="69"/>
      <c r="K265" s="53">
        <f t="shared" si="39"/>
        <v>0</v>
      </c>
      <c r="L265" s="176">
        <f t="shared" si="40"/>
        <v>0</v>
      </c>
      <c r="O265" s="190"/>
    </row>
    <row r="266" spans="1:15" x14ac:dyDescent="0.3">
      <c r="A266" s="52" t="s">
        <v>1039</v>
      </c>
      <c r="B266" s="52" t="s">
        <v>819</v>
      </c>
      <c r="C266" s="54">
        <v>60000</v>
      </c>
      <c r="D266" s="54"/>
      <c r="E266" s="54">
        <f t="shared" si="41"/>
        <v>60000</v>
      </c>
      <c r="F266" s="54"/>
      <c r="G266" s="53">
        <f t="shared" si="35"/>
        <v>60000</v>
      </c>
      <c r="H266" s="53">
        <v>-1200</v>
      </c>
      <c r="I266" s="69">
        <f t="shared" si="42"/>
        <v>58800</v>
      </c>
      <c r="J266" s="69">
        <v>60000</v>
      </c>
      <c r="K266" s="53">
        <f t="shared" si="39"/>
        <v>62520</v>
      </c>
      <c r="L266" s="176">
        <f t="shared" si="40"/>
        <v>65270.880000000005</v>
      </c>
      <c r="O266" s="190"/>
    </row>
    <row r="267" spans="1:15" x14ac:dyDescent="0.3">
      <c r="A267" s="52" t="s">
        <v>1488</v>
      </c>
      <c r="B267" s="52" t="s">
        <v>1425</v>
      </c>
      <c r="C267" s="54"/>
      <c r="D267" s="54"/>
      <c r="E267" s="54"/>
      <c r="F267" s="54"/>
      <c r="G267" s="53"/>
      <c r="H267" s="53"/>
      <c r="I267" s="69"/>
      <c r="J267" s="69">
        <v>60000</v>
      </c>
      <c r="K267" s="53">
        <f t="shared" si="39"/>
        <v>62520</v>
      </c>
      <c r="L267" s="176">
        <f t="shared" si="40"/>
        <v>65270.880000000005</v>
      </c>
      <c r="O267" s="190"/>
    </row>
    <row r="268" spans="1:15" x14ac:dyDescent="0.3">
      <c r="A268" s="52" t="s">
        <v>1040</v>
      </c>
      <c r="B268" s="52" t="s">
        <v>820</v>
      </c>
      <c r="C268" s="54">
        <v>30000</v>
      </c>
      <c r="D268" s="54"/>
      <c r="E268" s="54">
        <f t="shared" si="41"/>
        <v>30000</v>
      </c>
      <c r="F268" s="54"/>
      <c r="G268" s="53">
        <f t="shared" si="35"/>
        <v>30000</v>
      </c>
      <c r="H268" s="53">
        <v>27600</v>
      </c>
      <c r="I268" s="69">
        <f t="shared" si="42"/>
        <v>57600</v>
      </c>
      <c r="J268" s="69">
        <v>30000</v>
      </c>
      <c r="K268" s="53">
        <f t="shared" si="39"/>
        <v>31260</v>
      </c>
      <c r="L268" s="176">
        <f t="shared" si="40"/>
        <v>32635.440000000002</v>
      </c>
      <c r="O268" s="190"/>
    </row>
    <row r="269" spans="1:15" x14ac:dyDescent="0.3">
      <c r="A269" s="52" t="s">
        <v>1041</v>
      </c>
      <c r="B269" s="52" t="s">
        <v>821</v>
      </c>
      <c r="C269" s="54">
        <v>50000</v>
      </c>
      <c r="D269" s="54"/>
      <c r="E269" s="54">
        <f t="shared" si="41"/>
        <v>50000</v>
      </c>
      <c r="F269" s="54"/>
      <c r="G269" s="53">
        <f t="shared" si="35"/>
        <v>50000</v>
      </c>
      <c r="H269" s="53">
        <v>-10300</v>
      </c>
      <c r="I269" s="69">
        <f t="shared" si="42"/>
        <v>39700</v>
      </c>
      <c r="J269" s="69">
        <v>40000</v>
      </c>
      <c r="K269" s="53">
        <f t="shared" si="39"/>
        <v>41680</v>
      </c>
      <c r="L269" s="176">
        <f t="shared" si="40"/>
        <v>43513.919999999998</v>
      </c>
      <c r="O269" s="190"/>
    </row>
    <row r="270" spans="1:15" x14ac:dyDescent="0.3">
      <c r="A270" s="52"/>
      <c r="B270" s="51" t="s">
        <v>822</v>
      </c>
      <c r="C270" s="54"/>
      <c r="D270" s="54"/>
      <c r="E270" s="54">
        <f t="shared" si="41"/>
        <v>0</v>
      </c>
      <c r="F270" s="54"/>
      <c r="G270" s="53">
        <f t="shared" si="35"/>
        <v>0</v>
      </c>
      <c r="H270" s="53"/>
      <c r="I270" s="69">
        <f t="shared" si="42"/>
        <v>0</v>
      </c>
      <c r="J270" s="69"/>
      <c r="K270" s="53">
        <f t="shared" si="39"/>
        <v>0</v>
      </c>
      <c r="L270" s="176">
        <f t="shared" si="40"/>
        <v>0</v>
      </c>
      <c r="O270" s="190"/>
    </row>
    <row r="271" spans="1:15" x14ac:dyDescent="0.3">
      <c r="A271" s="52" t="s">
        <v>1051</v>
      </c>
      <c r="B271" s="52" t="s">
        <v>1043</v>
      </c>
      <c r="C271" s="54">
        <v>50000</v>
      </c>
      <c r="D271" s="54"/>
      <c r="E271" s="54">
        <f t="shared" si="41"/>
        <v>50000</v>
      </c>
      <c r="F271" s="54"/>
      <c r="G271" s="53">
        <f t="shared" si="35"/>
        <v>50000</v>
      </c>
      <c r="H271" s="53">
        <v>-50000</v>
      </c>
      <c r="I271" s="69">
        <f t="shared" si="42"/>
        <v>0</v>
      </c>
      <c r="J271" s="69">
        <v>50000</v>
      </c>
      <c r="K271" s="53">
        <f t="shared" ref="K271:K290" si="43">J271*104.2%</f>
        <v>52100</v>
      </c>
      <c r="L271" s="176">
        <f t="shared" ref="L271:L290" si="44">K271*104.4%</f>
        <v>54392.4</v>
      </c>
      <c r="O271" s="190"/>
    </row>
    <row r="272" spans="1:15" x14ac:dyDescent="0.3">
      <c r="A272" s="52" t="s">
        <v>1042</v>
      </c>
      <c r="B272" s="52" t="s">
        <v>1044</v>
      </c>
      <c r="C272" s="54">
        <v>60000</v>
      </c>
      <c r="D272" s="54"/>
      <c r="E272" s="54">
        <f t="shared" si="41"/>
        <v>60000</v>
      </c>
      <c r="F272" s="54"/>
      <c r="G272" s="53">
        <f t="shared" si="35"/>
        <v>60000</v>
      </c>
      <c r="H272" s="53">
        <v>-60000</v>
      </c>
      <c r="I272" s="69">
        <f t="shared" si="42"/>
        <v>0</v>
      </c>
      <c r="J272" s="69">
        <v>60000</v>
      </c>
      <c r="K272" s="53">
        <f t="shared" si="43"/>
        <v>62520</v>
      </c>
      <c r="L272" s="176">
        <f t="shared" si="44"/>
        <v>65270.880000000005</v>
      </c>
      <c r="O272" s="190"/>
    </row>
    <row r="273" spans="1:15" x14ac:dyDescent="0.3">
      <c r="A273" s="52" t="s">
        <v>1048</v>
      </c>
      <c r="B273" s="52" t="s">
        <v>1045</v>
      </c>
      <c r="C273" s="54">
        <v>80000</v>
      </c>
      <c r="D273" s="54"/>
      <c r="E273" s="54">
        <f t="shared" si="41"/>
        <v>80000</v>
      </c>
      <c r="F273" s="54"/>
      <c r="G273" s="53">
        <f t="shared" si="35"/>
        <v>80000</v>
      </c>
      <c r="H273" s="53">
        <v>-80000</v>
      </c>
      <c r="I273" s="69">
        <f t="shared" si="42"/>
        <v>0</v>
      </c>
      <c r="J273" s="69">
        <v>80000</v>
      </c>
      <c r="K273" s="53">
        <f t="shared" si="43"/>
        <v>83360</v>
      </c>
      <c r="L273" s="176">
        <f t="shared" si="44"/>
        <v>87027.839999999997</v>
      </c>
      <c r="O273" s="190"/>
    </row>
    <row r="274" spans="1:15" x14ac:dyDescent="0.3">
      <c r="A274" s="52" t="s">
        <v>1489</v>
      </c>
      <c r="B274" s="52" t="s">
        <v>1426</v>
      </c>
      <c r="C274" s="54"/>
      <c r="D274" s="54"/>
      <c r="E274" s="54"/>
      <c r="F274" s="54"/>
      <c r="G274" s="53"/>
      <c r="H274" s="53"/>
      <c r="I274" s="69"/>
      <c r="J274" s="69">
        <v>15000</v>
      </c>
      <c r="K274" s="53">
        <f t="shared" si="43"/>
        <v>15630</v>
      </c>
      <c r="L274" s="176">
        <f t="shared" si="44"/>
        <v>16317.720000000001</v>
      </c>
      <c r="O274" s="190"/>
    </row>
    <row r="275" spans="1:15" x14ac:dyDescent="0.3">
      <c r="A275" s="52" t="s">
        <v>1050</v>
      </c>
      <c r="B275" s="52" t="s">
        <v>1046</v>
      </c>
      <c r="C275" s="54">
        <v>40000</v>
      </c>
      <c r="D275" s="54"/>
      <c r="E275" s="54">
        <f t="shared" si="41"/>
        <v>40000</v>
      </c>
      <c r="F275" s="54"/>
      <c r="G275" s="53">
        <f t="shared" si="35"/>
        <v>40000</v>
      </c>
      <c r="H275" s="53">
        <v>-40000</v>
      </c>
      <c r="I275" s="69">
        <f t="shared" si="42"/>
        <v>0</v>
      </c>
      <c r="J275" s="69">
        <v>40000</v>
      </c>
      <c r="K275" s="53">
        <f t="shared" si="43"/>
        <v>41680</v>
      </c>
      <c r="L275" s="176">
        <f t="shared" si="44"/>
        <v>43513.919999999998</v>
      </c>
      <c r="O275" s="190"/>
    </row>
    <row r="276" spans="1:15" x14ac:dyDescent="0.3">
      <c r="A276" s="56" t="s">
        <v>1049</v>
      </c>
      <c r="B276" s="56" t="s">
        <v>1047</v>
      </c>
      <c r="C276" s="68">
        <v>30000</v>
      </c>
      <c r="D276" s="68"/>
      <c r="E276" s="68">
        <f t="shared" si="41"/>
        <v>30000</v>
      </c>
      <c r="F276" s="68"/>
      <c r="G276" s="69">
        <f t="shared" ref="G276" si="45">E276+F276</f>
        <v>30000</v>
      </c>
      <c r="H276" s="69">
        <v>-30000</v>
      </c>
      <c r="I276" s="69">
        <f t="shared" ref="I276" si="46">G276+H276</f>
        <v>0</v>
      </c>
      <c r="J276" s="69">
        <v>30000</v>
      </c>
      <c r="K276" s="53">
        <f t="shared" si="43"/>
        <v>31260</v>
      </c>
      <c r="L276" s="176">
        <f t="shared" si="44"/>
        <v>32635.440000000002</v>
      </c>
      <c r="O276" s="190"/>
    </row>
    <row r="277" spans="1:15" x14ac:dyDescent="0.3">
      <c r="A277" s="52"/>
      <c r="B277" s="52" t="s">
        <v>1412</v>
      </c>
      <c r="C277" s="115"/>
      <c r="D277" s="115"/>
      <c r="E277" s="115"/>
      <c r="F277" s="115"/>
      <c r="G277" s="53"/>
      <c r="H277" s="53"/>
      <c r="I277" s="53"/>
      <c r="J277" s="53"/>
      <c r="K277" s="53">
        <f t="shared" si="43"/>
        <v>0</v>
      </c>
      <c r="L277" s="176">
        <f t="shared" si="44"/>
        <v>0</v>
      </c>
      <c r="O277" s="190"/>
    </row>
    <row r="278" spans="1:15" x14ac:dyDescent="0.3">
      <c r="A278" s="52" t="s">
        <v>1490</v>
      </c>
      <c r="B278" s="52" t="s">
        <v>1448</v>
      </c>
      <c r="C278" s="115"/>
      <c r="D278" s="115"/>
      <c r="E278" s="115"/>
      <c r="F278" s="115"/>
      <c r="G278" s="53"/>
      <c r="H278" s="53"/>
      <c r="I278" s="53"/>
      <c r="J278" s="53">
        <v>200000</v>
      </c>
      <c r="K278" s="53">
        <f t="shared" si="43"/>
        <v>208400</v>
      </c>
      <c r="L278" s="176">
        <f t="shared" si="44"/>
        <v>217569.6</v>
      </c>
      <c r="O278" s="190"/>
    </row>
    <row r="279" spans="1:15" x14ac:dyDescent="0.3">
      <c r="A279" s="52"/>
      <c r="B279" s="51" t="s">
        <v>1413</v>
      </c>
      <c r="C279" s="115"/>
      <c r="D279" s="115"/>
      <c r="E279" s="115"/>
      <c r="F279" s="115"/>
      <c r="G279" s="53"/>
      <c r="H279" s="53"/>
      <c r="I279" s="53"/>
      <c r="J279" s="53"/>
      <c r="K279" s="53">
        <f t="shared" si="43"/>
        <v>0</v>
      </c>
      <c r="L279" s="176">
        <f t="shared" si="44"/>
        <v>0</v>
      </c>
      <c r="O279" s="190"/>
    </row>
    <row r="280" spans="1:15" x14ac:dyDescent="0.3">
      <c r="A280" s="52" t="s">
        <v>1491</v>
      </c>
      <c r="B280" s="52" t="s">
        <v>1414</v>
      </c>
      <c r="C280" s="115"/>
      <c r="D280" s="115"/>
      <c r="E280" s="115"/>
      <c r="F280" s="115"/>
      <c r="G280" s="53"/>
      <c r="H280" s="53"/>
      <c r="I280" s="53"/>
      <c r="J280" s="53">
        <v>40000</v>
      </c>
      <c r="K280" s="53">
        <f t="shared" si="43"/>
        <v>41680</v>
      </c>
      <c r="L280" s="176">
        <f t="shared" si="44"/>
        <v>43513.919999999998</v>
      </c>
      <c r="O280" s="190"/>
    </row>
    <row r="281" spans="1:15" x14ac:dyDescent="0.3">
      <c r="A281" s="52" t="s">
        <v>1492</v>
      </c>
      <c r="B281" s="52" t="s">
        <v>1415</v>
      </c>
      <c r="C281" s="115"/>
      <c r="D281" s="115"/>
      <c r="E281" s="115"/>
      <c r="F281" s="115"/>
      <c r="G281" s="53"/>
      <c r="H281" s="53"/>
      <c r="I281" s="53"/>
      <c r="J281" s="53">
        <v>60000</v>
      </c>
      <c r="K281" s="53">
        <f t="shared" si="43"/>
        <v>62520</v>
      </c>
      <c r="L281" s="176">
        <f t="shared" si="44"/>
        <v>65270.880000000005</v>
      </c>
      <c r="O281" s="190"/>
    </row>
    <row r="282" spans="1:15" x14ac:dyDescent="0.3">
      <c r="A282" s="52" t="s">
        <v>1493</v>
      </c>
      <c r="B282" s="52" t="s">
        <v>1416</v>
      </c>
      <c r="C282" s="115"/>
      <c r="D282" s="115"/>
      <c r="E282" s="115"/>
      <c r="F282" s="115"/>
      <c r="G282" s="53"/>
      <c r="H282" s="53"/>
      <c r="I282" s="53"/>
      <c r="J282" s="53">
        <v>30000</v>
      </c>
      <c r="K282" s="53">
        <f t="shared" si="43"/>
        <v>31260</v>
      </c>
      <c r="L282" s="176">
        <f t="shared" si="44"/>
        <v>32635.440000000002</v>
      </c>
      <c r="O282" s="190"/>
    </row>
    <row r="283" spans="1:15" x14ac:dyDescent="0.3">
      <c r="A283" s="52"/>
      <c r="B283" s="51" t="s">
        <v>1420</v>
      </c>
      <c r="C283" s="115"/>
      <c r="D283" s="115"/>
      <c r="E283" s="115"/>
      <c r="F283" s="115"/>
      <c r="G283" s="53"/>
      <c r="H283" s="53"/>
      <c r="I283" s="53"/>
      <c r="J283" s="53"/>
      <c r="K283" s="53">
        <f t="shared" si="43"/>
        <v>0</v>
      </c>
      <c r="L283" s="176">
        <f t="shared" si="44"/>
        <v>0</v>
      </c>
      <c r="O283" s="190"/>
    </row>
    <row r="284" spans="1:15" x14ac:dyDescent="0.3">
      <c r="A284" s="52" t="s">
        <v>1494</v>
      </c>
      <c r="B284" s="52" t="s">
        <v>1421</v>
      </c>
      <c r="C284" s="115"/>
      <c r="D284" s="115"/>
      <c r="E284" s="115"/>
      <c r="F284" s="115"/>
      <c r="G284" s="53"/>
      <c r="H284" s="53"/>
      <c r="I284" s="53"/>
      <c r="J284" s="53">
        <v>30000</v>
      </c>
      <c r="K284" s="53">
        <f t="shared" si="43"/>
        <v>31260</v>
      </c>
      <c r="L284" s="176">
        <f t="shared" si="44"/>
        <v>32635.440000000002</v>
      </c>
      <c r="O284" s="190"/>
    </row>
    <row r="285" spans="1:15" x14ac:dyDescent="0.3">
      <c r="A285" s="52" t="s">
        <v>1495</v>
      </c>
      <c r="B285" s="52" t="s">
        <v>1422</v>
      </c>
      <c r="C285" s="115"/>
      <c r="D285" s="115"/>
      <c r="E285" s="115"/>
      <c r="F285" s="115"/>
      <c r="G285" s="53"/>
      <c r="H285" s="53"/>
      <c r="I285" s="53"/>
      <c r="J285" s="53">
        <v>30000</v>
      </c>
      <c r="K285" s="53">
        <f t="shared" si="43"/>
        <v>31260</v>
      </c>
      <c r="L285" s="176">
        <f t="shared" si="44"/>
        <v>32635.440000000002</v>
      </c>
      <c r="O285" s="190"/>
    </row>
    <row r="286" spans="1:15" x14ac:dyDescent="0.3">
      <c r="A286" s="52" t="s">
        <v>1496</v>
      </c>
      <c r="B286" s="52" t="s">
        <v>1423</v>
      </c>
      <c r="C286" s="115"/>
      <c r="D286" s="115"/>
      <c r="E286" s="115"/>
      <c r="F286" s="115"/>
      <c r="G286" s="53"/>
      <c r="H286" s="53"/>
      <c r="I286" s="53"/>
      <c r="J286" s="53">
        <v>20000</v>
      </c>
      <c r="K286" s="53">
        <f t="shared" si="43"/>
        <v>20840</v>
      </c>
      <c r="L286" s="176">
        <f t="shared" si="44"/>
        <v>21756.959999999999</v>
      </c>
      <c r="O286" s="190"/>
    </row>
    <row r="287" spans="1:15" x14ac:dyDescent="0.3">
      <c r="A287" s="52" t="s">
        <v>1497</v>
      </c>
      <c r="B287" s="52" t="s">
        <v>1424</v>
      </c>
      <c r="C287" s="115"/>
      <c r="D287" s="115"/>
      <c r="E287" s="115"/>
      <c r="F287" s="115"/>
      <c r="G287" s="53"/>
      <c r="H287" s="53"/>
      <c r="I287" s="53"/>
      <c r="J287" s="53">
        <v>30000</v>
      </c>
      <c r="K287" s="53">
        <f t="shared" si="43"/>
        <v>31260</v>
      </c>
      <c r="L287" s="176">
        <f t="shared" si="44"/>
        <v>32635.440000000002</v>
      </c>
      <c r="O287" s="190"/>
    </row>
    <row r="288" spans="1:15" x14ac:dyDescent="0.3">
      <c r="A288" s="52"/>
      <c r="B288" s="52" t="s">
        <v>1417</v>
      </c>
      <c r="C288" s="115"/>
      <c r="D288" s="115"/>
      <c r="E288" s="115"/>
      <c r="F288" s="115"/>
      <c r="G288" s="53"/>
      <c r="H288" s="53"/>
      <c r="I288" s="53"/>
      <c r="J288" s="53"/>
      <c r="K288" s="53">
        <f t="shared" si="43"/>
        <v>0</v>
      </c>
      <c r="L288" s="176">
        <f t="shared" si="44"/>
        <v>0</v>
      </c>
      <c r="O288" s="190"/>
    </row>
    <row r="289" spans="1:15" x14ac:dyDescent="0.3">
      <c r="A289" s="52" t="s">
        <v>1498</v>
      </c>
      <c r="B289" s="52" t="s">
        <v>1418</v>
      </c>
      <c r="C289" s="115"/>
      <c r="D289" s="115"/>
      <c r="E289" s="115"/>
      <c r="F289" s="115"/>
      <c r="G289" s="53"/>
      <c r="H289" s="53"/>
      <c r="I289" s="53"/>
      <c r="J289" s="53">
        <v>50000</v>
      </c>
      <c r="K289" s="53">
        <f t="shared" si="43"/>
        <v>52100</v>
      </c>
      <c r="L289" s="176">
        <f t="shared" si="44"/>
        <v>54392.4</v>
      </c>
      <c r="O289" s="190"/>
    </row>
    <row r="290" spans="1:15" ht="14.5" thickBot="1" x14ac:dyDescent="0.35">
      <c r="A290" s="52" t="s">
        <v>1499</v>
      </c>
      <c r="B290" s="52" t="s">
        <v>1419</v>
      </c>
      <c r="C290" s="115"/>
      <c r="D290" s="115"/>
      <c r="E290" s="115"/>
      <c r="F290" s="115"/>
      <c r="G290" s="53"/>
      <c r="H290" s="53"/>
      <c r="I290" s="53"/>
      <c r="J290" s="53">
        <v>90000</v>
      </c>
      <c r="K290" s="53">
        <f t="shared" si="43"/>
        <v>93780</v>
      </c>
      <c r="L290" s="176">
        <f t="shared" si="44"/>
        <v>97906.32</v>
      </c>
      <c r="O290" s="190"/>
    </row>
    <row r="291" spans="1:15" ht="14.5" thickBot="1" x14ac:dyDescent="0.35">
      <c r="A291" s="57" t="s">
        <v>674</v>
      </c>
      <c r="B291" s="57"/>
      <c r="C291" s="92">
        <f>SUM(C207:C276)</f>
        <v>3215000</v>
      </c>
      <c r="D291" s="92">
        <f>SUM(D207:D276)</f>
        <v>0</v>
      </c>
      <c r="E291" s="92">
        <f t="shared" ref="E291:L291" si="47">SUM(E207:E290)</f>
        <v>3215000</v>
      </c>
      <c r="F291" s="92">
        <f t="shared" si="47"/>
        <v>0</v>
      </c>
      <c r="G291" s="92">
        <f t="shared" si="47"/>
        <v>3215000</v>
      </c>
      <c r="H291" s="92">
        <f t="shared" si="47"/>
        <v>-698537.94</v>
      </c>
      <c r="I291" s="92">
        <f t="shared" si="47"/>
        <v>2516462.06</v>
      </c>
      <c r="J291" s="92">
        <f>SUM(J207:J290)</f>
        <v>3730000</v>
      </c>
      <c r="K291" s="92">
        <f t="shared" si="47"/>
        <v>3886660</v>
      </c>
      <c r="L291" s="92">
        <f t="shared" si="47"/>
        <v>4003236.5727171358</v>
      </c>
      <c r="M291" s="191"/>
      <c r="N291" s="192"/>
      <c r="O291" s="192"/>
    </row>
    <row r="292" spans="1:15" ht="14.5" thickTop="1" x14ac:dyDescent="0.3">
      <c r="A292" s="61"/>
      <c r="B292" s="60"/>
      <c r="C292" s="54"/>
      <c r="D292" s="54"/>
      <c r="E292" s="54">
        <f t="shared" si="41"/>
        <v>0</v>
      </c>
      <c r="F292" s="54"/>
      <c r="G292" s="54"/>
      <c r="H292" s="54"/>
      <c r="I292" s="54"/>
      <c r="J292" s="54"/>
      <c r="K292" s="62"/>
      <c r="L292" s="184"/>
    </row>
    <row r="293" spans="1:15" x14ac:dyDescent="0.3">
      <c r="A293" s="51" t="s">
        <v>77</v>
      </c>
      <c r="B293" s="52"/>
      <c r="C293" s="54"/>
      <c r="D293" s="54"/>
      <c r="E293" s="54">
        <f t="shared" si="41"/>
        <v>0</v>
      </c>
      <c r="F293" s="54"/>
      <c r="G293" s="54"/>
      <c r="H293" s="54"/>
      <c r="I293" s="54"/>
      <c r="J293" s="54"/>
      <c r="K293" s="53"/>
      <c r="L293" s="176"/>
    </row>
    <row r="294" spans="1:15" x14ac:dyDescent="0.3">
      <c r="A294" s="52"/>
      <c r="B294" s="52" t="s">
        <v>183</v>
      </c>
      <c r="C294" s="54">
        <v>0</v>
      </c>
      <c r="D294" s="54"/>
      <c r="E294" s="54">
        <f t="shared" si="41"/>
        <v>0</v>
      </c>
      <c r="F294" s="54"/>
      <c r="G294" s="53">
        <f t="shared" ref="G294:G302" si="48">E294+F294</f>
        <v>0</v>
      </c>
      <c r="H294" s="53"/>
      <c r="I294" s="69">
        <f t="shared" ref="I294:I302" si="49">G294+H294</f>
        <v>0</v>
      </c>
      <c r="J294" s="69"/>
      <c r="K294" s="53"/>
      <c r="L294" s="176"/>
      <c r="O294" s="190"/>
    </row>
    <row r="295" spans="1:15" x14ac:dyDescent="0.3">
      <c r="A295" s="52"/>
      <c r="B295" s="52" t="s">
        <v>174</v>
      </c>
      <c r="C295" s="54">
        <v>0</v>
      </c>
      <c r="D295" s="54"/>
      <c r="E295" s="54">
        <f t="shared" si="41"/>
        <v>0</v>
      </c>
      <c r="F295" s="54"/>
      <c r="G295" s="53">
        <f t="shared" si="48"/>
        <v>0</v>
      </c>
      <c r="H295" s="53"/>
      <c r="I295" s="69">
        <f t="shared" si="49"/>
        <v>0</v>
      </c>
      <c r="J295" s="69"/>
      <c r="K295" s="53"/>
      <c r="L295" s="176"/>
      <c r="O295" s="190"/>
    </row>
    <row r="296" spans="1:15" x14ac:dyDescent="0.3">
      <c r="A296" s="52"/>
      <c r="B296" s="52" t="s">
        <v>180</v>
      </c>
      <c r="C296" s="54">
        <v>0</v>
      </c>
      <c r="D296" s="54"/>
      <c r="E296" s="54">
        <f t="shared" si="41"/>
        <v>0</v>
      </c>
      <c r="F296" s="54"/>
      <c r="G296" s="53">
        <f t="shared" si="48"/>
        <v>0</v>
      </c>
      <c r="H296" s="53"/>
      <c r="I296" s="69">
        <f t="shared" si="49"/>
        <v>0</v>
      </c>
      <c r="J296" s="69"/>
      <c r="K296" s="53"/>
      <c r="L296" s="176"/>
      <c r="O296" s="190"/>
    </row>
    <row r="297" spans="1:15" x14ac:dyDescent="0.3">
      <c r="A297" s="52"/>
      <c r="B297" s="52" t="s">
        <v>57</v>
      </c>
      <c r="C297" s="54">
        <v>0</v>
      </c>
      <c r="D297" s="54"/>
      <c r="E297" s="54">
        <f t="shared" si="41"/>
        <v>0</v>
      </c>
      <c r="F297" s="54"/>
      <c r="G297" s="53">
        <f t="shared" si="48"/>
        <v>0</v>
      </c>
      <c r="H297" s="53"/>
      <c r="I297" s="69">
        <f t="shared" si="49"/>
        <v>0</v>
      </c>
      <c r="J297" s="69"/>
      <c r="K297" s="53"/>
      <c r="L297" s="176"/>
      <c r="O297" s="190"/>
    </row>
    <row r="298" spans="1:15" x14ac:dyDescent="0.3">
      <c r="A298" s="52"/>
      <c r="B298" s="52" t="s">
        <v>166</v>
      </c>
      <c r="C298" s="54">
        <v>0</v>
      </c>
      <c r="D298" s="54"/>
      <c r="E298" s="54">
        <f t="shared" si="41"/>
        <v>0</v>
      </c>
      <c r="F298" s="54"/>
      <c r="G298" s="53">
        <f t="shared" si="48"/>
        <v>0</v>
      </c>
      <c r="H298" s="53"/>
      <c r="I298" s="69">
        <f t="shared" si="49"/>
        <v>0</v>
      </c>
      <c r="J298" s="69"/>
      <c r="K298" s="53"/>
      <c r="L298" s="176"/>
      <c r="O298" s="190"/>
    </row>
    <row r="299" spans="1:15" x14ac:dyDescent="0.3">
      <c r="A299" s="52"/>
      <c r="B299" s="52" t="s">
        <v>171</v>
      </c>
      <c r="C299" s="54">
        <v>0</v>
      </c>
      <c r="D299" s="54"/>
      <c r="E299" s="54">
        <f t="shared" si="41"/>
        <v>0</v>
      </c>
      <c r="F299" s="54"/>
      <c r="G299" s="53">
        <f t="shared" si="48"/>
        <v>0</v>
      </c>
      <c r="H299" s="53"/>
      <c r="I299" s="69">
        <f t="shared" si="49"/>
        <v>0</v>
      </c>
      <c r="J299" s="69"/>
      <c r="K299" s="53"/>
      <c r="L299" s="176"/>
      <c r="O299" s="190"/>
    </row>
    <row r="300" spans="1:15" x14ac:dyDescent="0.3">
      <c r="A300" s="52"/>
      <c r="B300" s="52" t="s">
        <v>190</v>
      </c>
      <c r="C300" s="54">
        <v>0</v>
      </c>
      <c r="D300" s="54"/>
      <c r="E300" s="54">
        <f t="shared" si="41"/>
        <v>0</v>
      </c>
      <c r="F300" s="54"/>
      <c r="G300" s="53">
        <f t="shared" si="48"/>
        <v>0</v>
      </c>
      <c r="H300" s="53"/>
      <c r="I300" s="69">
        <f t="shared" si="49"/>
        <v>0</v>
      </c>
      <c r="J300" s="69"/>
      <c r="K300" s="53"/>
      <c r="L300" s="176"/>
      <c r="O300" s="190"/>
    </row>
    <row r="301" spans="1:15" x14ac:dyDescent="0.3">
      <c r="A301" s="52"/>
      <c r="B301" s="52" t="s">
        <v>55</v>
      </c>
      <c r="C301" s="54">
        <v>0</v>
      </c>
      <c r="D301" s="54"/>
      <c r="E301" s="54">
        <f t="shared" si="41"/>
        <v>0</v>
      </c>
      <c r="F301" s="54"/>
      <c r="G301" s="53">
        <f t="shared" si="48"/>
        <v>0</v>
      </c>
      <c r="H301" s="53"/>
      <c r="I301" s="69">
        <f t="shared" si="49"/>
        <v>0</v>
      </c>
      <c r="J301" s="69"/>
      <c r="K301" s="53"/>
      <c r="L301" s="176"/>
      <c r="O301" s="190"/>
    </row>
    <row r="302" spans="1:15" x14ac:dyDescent="0.3">
      <c r="A302" s="52"/>
      <c r="B302" s="52" t="s">
        <v>177</v>
      </c>
      <c r="C302" s="54">
        <v>0</v>
      </c>
      <c r="D302" s="54"/>
      <c r="E302" s="54">
        <f t="shared" si="41"/>
        <v>0</v>
      </c>
      <c r="F302" s="54"/>
      <c r="G302" s="53">
        <f t="shared" si="48"/>
        <v>0</v>
      </c>
      <c r="H302" s="53"/>
      <c r="I302" s="69">
        <f t="shared" si="49"/>
        <v>0</v>
      </c>
      <c r="J302" s="69"/>
      <c r="K302" s="53"/>
      <c r="L302" s="176"/>
      <c r="O302" s="190"/>
    </row>
    <row r="303" spans="1:15" ht="14.5" thickBot="1" x14ac:dyDescent="0.35">
      <c r="A303" s="55"/>
      <c r="B303" s="55"/>
      <c r="C303" s="68"/>
      <c r="D303" s="68"/>
      <c r="E303" s="54">
        <f t="shared" si="41"/>
        <v>0</v>
      </c>
      <c r="F303" s="68"/>
      <c r="G303" s="68"/>
      <c r="H303" s="68"/>
      <c r="I303" s="68"/>
      <c r="J303" s="68"/>
      <c r="K303" s="69"/>
      <c r="L303" s="186"/>
    </row>
    <row r="304" spans="1:15" ht="14.5" thickBot="1" x14ac:dyDescent="0.35">
      <c r="A304" s="57" t="s">
        <v>201</v>
      </c>
      <c r="B304" s="57"/>
      <c r="C304" s="92">
        <f t="shared" ref="C304:L304" si="50">SUM(C294:C303)</f>
        <v>0</v>
      </c>
      <c r="D304" s="92">
        <f t="shared" si="50"/>
        <v>0</v>
      </c>
      <c r="E304" s="92">
        <f t="shared" si="50"/>
        <v>0</v>
      </c>
      <c r="F304" s="92">
        <f t="shared" si="50"/>
        <v>0</v>
      </c>
      <c r="G304" s="92">
        <f t="shared" si="50"/>
        <v>0</v>
      </c>
      <c r="H304" s="92">
        <f t="shared" si="50"/>
        <v>0</v>
      </c>
      <c r="I304" s="92">
        <f t="shared" si="50"/>
        <v>0</v>
      </c>
      <c r="J304" s="92">
        <f t="shared" si="50"/>
        <v>0</v>
      </c>
      <c r="K304" s="92">
        <f t="shared" si="50"/>
        <v>0</v>
      </c>
      <c r="L304" s="92">
        <f t="shared" si="50"/>
        <v>0</v>
      </c>
      <c r="M304" s="191"/>
      <c r="N304" s="192"/>
      <c r="O304" s="192"/>
    </row>
    <row r="305" spans="1:15" ht="15" thickTop="1" thickBot="1" x14ac:dyDescent="0.35">
      <c r="A305" s="73"/>
      <c r="B305" s="74"/>
      <c r="C305" s="68"/>
      <c r="D305" s="68"/>
      <c r="E305" s="54">
        <f t="shared" si="41"/>
        <v>0</v>
      </c>
      <c r="F305" s="68"/>
      <c r="G305" s="68"/>
      <c r="H305" s="68"/>
      <c r="I305" s="68"/>
      <c r="J305" s="68"/>
      <c r="K305" s="79"/>
      <c r="L305" s="179"/>
    </row>
    <row r="306" spans="1:15" ht="14.5" thickBot="1" x14ac:dyDescent="0.35">
      <c r="A306" s="70" t="s">
        <v>830</v>
      </c>
      <c r="B306" s="70"/>
      <c r="C306" s="71">
        <f>C304+C291</f>
        <v>3215000</v>
      </c>
      <c r="D306" s="71">
        <f t="shared" ref="D306:L306" si="51">D304+D291</f>
        <v>0</v>
      </c>
      <c r="E306" s="71">
        <f t="shared" si="51"/>
        <v>3215000</v>
      </c>
      <c r="F306" s="71">
        <f t="shared" si="51"/>
        <v>0</v>
      </c>
      <c r="G306" s="71">
        <f t="shared" si="51"/>
        <v>3215000</v>
      </c>
      <c r="H306" s="71">
        <f t="shared" si="51"/>
        <v>-698537.94</v>
      </c>
      <c r="I306" s="71">
        <f t="shared" si="51"/>
        <v>2516462.06</v>
      </c>
      <c r="J306" s="71">
        <f t="shared" si="51"/>
        <v>3730000</v>
      </c>
      <c r="K306" s="71">
        <f t="shared" si="51"/>
        <v>3886660</v>
      </c>
      <c r="L306" s="71">
        <f t="shared" si="51"/>
        <v>4003236.5727171358</v>
      </c>
      <c r="M306" s="191"/>
      <c r="N306" s="192"/>
      <c r="O306" s="192"/>
    </row>
    <row r="307" spans="1:15" ht="14.5" thickTop="1" x14ac:dyDescent="0.3">
      <c r="A307" s="61"/>
      <c r="B307" s="60"/>
      <c r="C307" s="54"/>
      <c r="D307" s="54"/>
      <c r="E307" s="54">
        <f t="shared" si="41"/>
        <v>0</v>
      </c>
      <c r="F307" s="54"/>
      <c r="G307" s="54"/>
      <c r="H307" s="54"/>
      <c r="I307" s="54"/>
      <c r="J307" s="54"/>
      <c r="K307" s="62"/>
      <c r="L307" s="184"/>
    </row>
    <row r="308" spans="1:15" x14ac:dyDescent="0.3">
      <c r="A308" s="52"/>
      <c r="B308" s="52"/>
      <c r="C308" s="54"/>
      <c r="D308" s="54"/>
      <c r="E308" s="54">
        <f t="shared" si="41"/>
        <v>0</v>
      </c>
      <c r="F308" s="54"/>
      <c r="G308" s="54"/>
      <c r="H308" s="54"/>
      <c r="I308" s="54"/>
      <c r="J308" s="54"/>
      <c r="K308" s="53"/>
      <c r="L308" s="176"/>
    </row>
    <row r="309" spans="1:15" x14ac:dyDescent="0.3">
      <c r="A309" s="51" t="s">
        <v>694</v>
      </c>
      <c r="B309" s="52"/>
      <c r="C309" s="54"/>
      <c r="D309" s="54"/>
      <c r="E309" s="54">
        <f t="shared" si="41"/>
        <v>0</v>
      </c>
      <c r="F309" s="54"/>
      <c r="G309" s="54"/>
      <c r="H309" s="54"/>
      <c r="I309" s="54"/>
      <c r="J309" s="54"/>
      <c r="K309" s="53"/>
      <c r="L309" s="176"/>
    </row>
    <row r="310" spans="1:15" ht="24" customHeight="1" x14ac:dyDescent="0.3">
      <c r="A310" s="52"/>
      <c r="B310" s="51" t="s">
        <v>464</v>
      </c>
      <c r="C310" s="54">
        <v>0</v>
      </c>
      <c r="D310" s="54"/>
      <c r="E310" s="54">
        <f t="shared" si="41"/>
        <v>0</v>
      </c>
      <c r="F310" s="54"/>
      <c r="G310" s="54"/>
      <c r="H310" s="54"/>
      <c r="I310" s="54"/>
      <c r="J310" s="54"/>
      <c r="K310" s="53"/>
      <c r="L310" s="176"/>
    </row>
    <row r="311" spans="1:15" x14ac:dyDescent="0.3">
      <c r="A311" s="52" t="s">
        <v>112</v>
      </c>
      <c r="B311" s="52" t="s">
        <v>113</v>
      </c>
      <c r="C311" s="54">
        <v>900000</v>
      </c>
      <c r="D311" s="54"/>
      <c r="E311" s="54">
        <f t="shared" si="41"/>
        <v>900000</v>
      </c>
      <c r="F311" s="54"/>
      <c r="G311" s="53">
        <f t="shared" ref="G311:G329" si="52">E311+F311</f>
        <v>900000</v>
      </c>
      <c r="H311" s="53">
        <f>-561588.33718431-66000-100000</f>
        <v>-727588.33718430996</v>
      </c>
      <c r="I311" s="69">
        <f t="shared" ref="I311:I329" si="53">G311+H311</f>
        <v>172411.66281569004</v>
      </c>
      <c r="J311" s="69">
        <v>800000</v>
      </c>
      <c r="K311" s="53">
        <f t="shared" ref="K311:K344" si="54">J311*104.2%</f>
        <v>833600</v>
      </c>
      <c r="L311" s="176">
        <f t="shared" ref="L311:L344" si="55">K311*104.4%</f>
        <v>870278.4</v>
      </c>
      <c r="O311" s="190"/>
    </row>
    <row r="312" spans="1:15" x14ac:dyDescent="0.3">
      <c r="A312" s="52" t="s">
        <v>87</v>
      </c>
      <c r="B312" s="52" t="s">
        <v>88</v>
      </c>
      <c r="C312" s="54">
        <v>250000</v>
      </c>
      <c r="D312" s="54"/>
      <c r="E312" s="54">
        <f t="shared" si="41"/>
        <v>250000</v>
      </c>
      <c r="F312" s="54"/>
      <c r="G312" s="53">
        <f t="shared" si="52"/>
        <v>250000</v>
      </c>
      <c r="H312" s="53">
        <v>-50000</v>
      </c>
      <c r="I312" s="69">
        <f t="shared" si="53"/>
        <v>200000</v>
      </c>
      <c r="J312" s="69">
        <v>250000</v>
      </c>
      <c r="K312" s="53">
        <f t="shared" si="54"/>
        <v>260500</v>
      </c>
      <c r="L312" s="176">
        <f t="shared" si="55"/>
        <v>271962</v>
      </c>
      <c r="O312" s="190"/>
    </row>
    <row r="313" spans="1:15" x14ac:dyDescent="0.3">
      <c r="A313" s="52" t="s">
        <v>103</v>
      </c>
      <c r="B313" s="52" t="s">
        <v>104</v>
      </c>
      <c r="C313" s="54">
        <f>1400*12*190</f>
        <v>3192000</v>
      </c>
      <c r="D313" s="54"/>
      <c r="E313" s="54">
        <f t="shared" si="41"/>
        <v>3192000</v>
      </c>
      <c r="F313" s="54"/>
      <c r="G313" s="53">
        <f t="shared" si="52"/>
        <v>3192000</v>
      </c>
      <c r="H313" s="53">
        <f>169000-1450</f>
        <v>167550</v>
      </c>
      <c r="I313" s="69">
        <f t="shared" si="53"/>
        <v>3359550</v>
      </c>
      <c r="J313" s="69">
        <v>3192000</v>
      </c>
      <c r="K313" s="53">
        <f t="shared" si="54"/>
        <v>3326064</v>
      </c>
      <c r="L313" s="176">
        <f t="shared" si="55"/>
        <v>3472410.8160000001</v>
      </c>
      <c r="O313" s="190"/>
    </row>
    <row r="314" spans="1:15" x14ac:dyDescent="0.3">
      <c r="A314" s="52" t="s">
        <v>91</v>
      </c>
      <c r="B314" s="52" t="s">
        <v>92</v>
      </c>
      <c r="C314" s="54">
        <v>150000</v>
      </c>
      <c r="D314" s="54"/>
      <c r="E314" s="54">
        <f t="shared" si="41"/>
        <v>150000</v>
      </c>
      <c r="F314" s="54"/>
      <c r="G314" s="53">
        <f t="shared" si="52"/>
        <v>150000</v>
      </c>
      <c r="H314" s="53">
        <v>48000</v>
      </c>
      <c r="I314" s="69">
        <f t="shared" si="53"/>
        <v>198000</v>
      </c>
      <c r="J314" s="69">
        <v>200000</v>
      </c>
      <c r="K314" s="53">
        <f t="shared" si="54"/>
        <v>208400</v>
      </c>
      <c r="L314" s="176">
        <f t="shared" si="55"/>
        <v>217569.6</v>
      </c>
      <c r="O314" s="190"/>
    </row>
    <row r="315" spans="1:15" x14ac:dyDescent="0.3">
      <c r="A315" s="52" t="s">
        <v>85</v>
      </c>
      <c r="B315" s="52" t="s">
        <v>86</v>
      </c>
      <c r="C315" s="54">
        <v>70000</v>
      </c>
      <c r="D315" s="54"/>
      <c r="E315" s="54">
        <f t="shared" si="41"/>
        <v>70000</v>
      </c>
      <c r="F315" s="54"/>
      <c r="G315" s="53">
        <f t="shared" si="52"/>
        <v>70000</v>
      </c>
      <c r="H315" s="53">
        <f>-11200+229000-93000</f>
        <v>124800</v>
      </c>
      <c r="I315" s="69">
        <f t="shared" si="53"/>
        <v>194800</v>
      </c>
      <c r="J315" s="69">
        <v>60000</v>
      </c>
      <c r="K315" s="53">
        <f t="shared" si="54"/>
        <v>62520</v>
      </c>
      <c r="L315" s="176">
        <f t="shared" si="55"/>
        <v>65270.880000000005</v>
      </c>
      <c r="O315" s="190"/>
    </row>
    <row r="316" spans="1:15" x14ac:dyDescent="0.3">
      <c r="A316" s="52" t="s">
        <v>89</v>
      </c>
      <c r="B316" s="52" t="s">
        <v>90</v>
      </c>
      <c r="C316" s="54">
        <v>260000</v>
      </c>
      <c r="D316" s="54"/>
      <c r="E316" s="54">
        <f t="shared" si="41"/>
        <v>260000</v>
      </c>
      <c r="F316" s="54"/>
      <c r="G316" s="53">
        <f t="shared" si="52"/>
        <v>260000</v>
      </c>
      <c r="H316" s="53">
        <f>-51000+191000</f>
        <v>140000</v>
      </c>
      <c r="I316" s="69">
        <f t="shared" si="53"/>
        <v>400000</v>
      </c>
      <c r="J316" s="69">
        <v>200000</v>
      </c>
      <c r="K316" s="53">
        <f t="shared" si="54"/>
        <v>208400</v>
      </c>
      <c r="L316" s="176">
        <f t="shared" si="55"/>
        <v>217569.6</v>
      </c>
      <c r="O316" s="190"/>
    </row>
    <row r="317" spans="1:15" x14ac:dyDescent="0.3">
      <c r="A317" s="52" t="s">
        <v>114</v>
      </c>
      <c r="B317" s="52" t="s">
        <v>115</v>
      </c>
      <c r="C317" s="54">
        <v>150000</v>
      </c>
      <c r="D317" s="54"/>
      <c r="E317" s="54">
        <f t="shared" si="41"/>
        <v>150000</v>
      </c>
      <c r="F317" s="54"/>
      <c r="G317" s="53">
        <f t="shared" si="52"/>
        <v>150000</v>
      </c>
      <c r="H317" s="53">
        <v>8000.5</v>
      </c>
      <c r="I317" s="69">
        <f t="shared" si="53"/>
        <v>158000.5</v>
      </c>
      <c r="J317" s="69">
        <v>150000</v>
      </c>
      <c r="K317" s="53">
        <f t="shared" si="54"/>
        <v>156300</v>
      </c>
      <c r="L317" s="176">
        <f t="shared" si="55"/>
        <v>163177.20000000001</v>
      </c>
      <c r="O317" s="190"/>
    </row>
    <row r="318" spans="1:15" x14ac:dyDescent="0.3">
      <c r="A318" s="52" t="s">
        <v>1054</v>
      </c>
      <c r="B318" s="52" t="s">
        <v>1053</v>
      </c>
      <c r="C318" s="54">
        <v>100000</v>
      </c>
      <c r="D318" s="54"/>
      <c r="E318" s="54">
        <f t="shared" si="41"/>
        <v>100000</v>
      </c>
      <c r="F318" s="54"/>
      <c r="G318" s="53">
        <f t="shared" si="52"/>
        <v>100000</v>
      </c>
      <c r="H318" s="53"/>
      <c r="I318" s="69">
        <f t="shared" si="53"/>
        <v>100000</v>
      </c>
      <c r="J318" s="69"/>
      <c r="K318" s="53">
        <f t="shared" si="54"/>
        <v>0</v>
      </c>
      <c r="L318" s="176">
        <f t="shared" si="55"/>
        <v>0</v>
      </c>
      <c r="O318" s="190"/>
    </row>
    <row r="319" spans="1:15" x14ac:dyDescent="0.3">
      <c r="A319" s="52" t="s">
        <v>1056</v>
      </c>
      <c r="B319" s="52" t="s">
        <v>1055</v>
      </c>
      <c r="C319" s="115">
        <v>130000</v>
      </c>
      <c r="D319" s="115"/>
      <c r="E319" s="54">
        <f t="shared" si="41"/>
        <v>130000</v>
      </c>
      <c r="F319" s="54"/>
      <c r="G319" s="53">
        <f t="shared" si="52"/>
        <v>130000</v>
      </c>
      <c r="H319" s="53">
        <v>-22998</v>
      </c>
      <c r="I319" s="69">
        <f t="shared" si="53"/>
        <v>107002</v>
      </c>
      <c r="J319" s="69">
        <v>120000</v>
      </c>
      <c r="K319" s="53">
        <f t="shared" si="54"/>
        <v>125040</v>
      </c>
      <c r="L319" s="176">
        <f t="shared" si="55"/>
        <v>130541.76000000001</v>
      </c>
      <c r="O319" s="190"/>
    </row>
    <row r="320" spans="1:15" x14ac:dyDescent="0.3">
      <c r="A320" s="52" t="s">
        <v>1057</v>
      </c>
      <c r="B320" s="52" t="s">
        <v>1052</v>
      </c>
      <c r="C320" s="115">
        <v>85000</v>
      </c>
      <c r="D320" s="115"/>
      <c r="E320" s="54">
        <f t="shared" si="41"/>
        <v>85000</v>
      </c>
      <c r="F320" s="54"/>
      <c r="G320" s="53">
        <f t="shared" si="52"/>
        <v>85000</v>
      </c>
      <c r="H320" s="53">
        <v>-2600</v>
      </c>
      <c r="I320" s="69">
        <f t="shared" si="53"/>
        <v>82400</v>
      </c>
      <c r="J320" s="69">
        <v>30000</v>
      </c>
      <c r="K320" s="53">
        <f t="shared" si="54"/>
        <v>31260</v>
      </c>
      <c r="L320" s="176">
        <f t="shared" si="55"/>
        <v>32635.440000000002</v>
      </c>
      <c r="O320" s="190"/>
    </row>
    <row r="321" spans="1:15" x14ac:dyDescent="0.3">
      <c r="A321" s="52" t="s">
        <v>1303</v>
      </c>
      <c r="B321" s="52" t="s">
        <v>1304</v>
      </c>
      <c r="C321" s="115"/>
      <c r="D321" s="115"/>
      <c r="E321" s="54">
        <f t="shared" ref="E321:E429" si="56">C321+D321</f>
        <v>0</v>
      </c>
      <c r="F321" s="54">
        <v>1000000</v>
      </c>
      <c r="G321" s="53">
        <f t="shared" si="52"/>
        <v>1000000</v>
      </c>
      <c r="H321" s="53"/>
      <c r="I321" s="69">
        <f t="shared" si="53"/>
        <v>1000000</v>
      </c>
      <c r="J321" s="69"/>
      <c r="K321" s="53">
        <f t="shared" si="54"/>
        <v>0</v>
      </c>
      <c r="L321" s="176">
        <f t="shared" si="55"/>
        <v>0</v>
      </c>
      <c r="O321" s="190"/>
    </row>
    <row r="322" spans="1:15" x14ac:dyDescent="0.3">
      <c r="A322" s="52"/>
      <c r="B322" s="52"/>
      <c r="C322" s="115"/>
      <c r="D322" s="115"/>
      <c r="E322" s="54"/>
      <c r="F322" s="54"/>
      <c r="G322" s="53"/>
      <c r="H322" s="53"/>
      <c r="I322" s="69">
        <f t="shared" si="53"/>
        <v>0</v>
      </c>
      <c r="J322" s="69"/>
      <c r="K322" s="53">
        <f t="shared" si="54"/>
        <v>0</v>
      </c>
      <c r="L322" s="176">
        <f t="shared" si="55"/>
        <v>0</v>
      </c>
      <c r="O322" s="190"/>
    </row>
    <row r="323" spans="1:15" x14ac:dyDescent="0.3">
      <c r="A323" s="52"/>
      <c r="B323" s="51" t="s">
        <v>831</v>
      </c>
      <c r="C323" s="115"/>
      <c r="D323" s="115"/>
      <c r="E323" s="54">
        <f t="shared" si="56"/>
        <v>0</v>
      </c>
      <c r="F323" s="54"/>
      <c r="G323" s="53">
        <f t="shared" si="52"/>
        <v>0</v>
      </c>
      <c r="H323" s="53"/>
      <c r="I323" s="69">
        <f t="shared" si="53"/>
        <v>0</v>
      </c>
      <c r="J323" s="69"/>
      <c r="K323" s="53">
        <f t="shared" si="54"/>
        <v>0</v>
      </c>
      <c r="L323" s="176">
        <f t="shared" si="55"/>
        <v>0</v>
      </c>
      <c r="O323" s="190"/>
    </row>
    <row r="324" spans="1:15" x14ac:dyDescent="0.3">
      <c r="A324" s="52" t="s">
        <v>832</v>
      </c>
      <c r="B324" s="52" t="s">
        <v>833</v>
      </c>
      <c r="C324" s="115">
        <v>240000</v>
      </c>
      <c r="D324" s="115"/>
      <c r="E324" s="54">
        <f t="shared" si="56"/>
        <v>240000</v>
      </c>
      <c r="F324" s="54"/>
      <c r="G324" s="53">
        <f t="shared" si="52"/>
        <v>240000</v>
      </c>
      <c r="H324" s="53">
        <f>-74100-100000</f>
        <v>-174100</v>
      </c>
      <c r="I324" s="69">
        <f t="shared" si="53"/>
        <v>65900</v>
      </c>
      <c r="J324" s="69">
        <v>200000</v>
      </c>
      <c r="K324" s="53">
        <f t="shared" si="54"/>
        <v>208400</v>
      </c>
      <c r="L324" s="176">
        <f t="shared" si="55"/>
        <v>217569.6</v>
      </c>
      <c r="O324" s="190"/>
    </row>
    <row r="325" spans="1:15" x14ac:dyDescent="0.3">
      <c r="A325" s="52" t="s">
        <v>834</v>
      </c>
      <c r="B325" s="52" t="s">
        <v>835</v>
      </c>
      <c r="C325" s="115">
        <v>50000</v>
      </c>
      <c r="D325" s="115"/>
      <c r="E325" s="54">
        <f t="shared" si="56"/>
        <v>50000</v>
      </c>
      <c r="F325" s="54"/>
      <c r="G325" s="53">
        <f t="shared" si="52"/>
        <v>50000</v>
      </c>
      <c r="H325" s="53">
        <f>6852+60000-60000</f>
        <v>6852</v>
      </c>
      <c r="I325" s="69">
        <f t="shared" si="53"/>
        <v>56852</v>
      </c>
      <c r="J325" s="69">
        <v>50000</v>
      </c>
      <c r="K325" s="53">
        <f t="shared" si="54"/>
        <v>52100</v>
      </c>
      <c r="L325" s="176">
        <f t="shared" si="55"/>
        <v>54392.4</v>
      </c>
      <c r="O325" s="190"/>
    </row>
    <row r="326" spans="1:15" x14ac:dyDescent="0.3">
      <c r="A326" s="52" t="s">
        <v>836</v>
      </c>
      <c r="B326" s="52" t="s">
        <v>837</v>
      </c>
      <c r="C326" s="115">
        <v>60000</v>
      </c>
      <c r="D326" s="115"/>
      <c r="E326" s="54">
        <f t="shared" si="56"/>
        <v>60000</v>
      </c>
      <c r="F326" s="54"/>
      <c r="G326" s="53">
        <f t="shared" si="52"/>
        <v>60000</v>
      </c>
      <c r="H326" s="53">
        <v>-31000</v>
      </c>
      <c r="I326" s="69">
        <f t="shared" si="53"/>
        <v>29000</v>
      </c>
      <c r="J326" s="69">
        <v>50000</v>
      </c>
      <c r="K326" s="53">
        <f t="shared" si="54"/>
        <v>52100</v>
      </c>
      <c r="L326" s="176">
        <f t="shared" si="55"/>
        <v>54392.4</v>
      </c>
      <c r="O326" s="190"/>
    </row>
    <row r="327" spans="1:15" x14ac:dyDescent="0.3">
      <c r="A327" s="52" t="s">
        <v>838</v>
      </c>
      <c r="B327" s="52" t="s">
        <v>839</v>
      </c>
      <c r="C327" s="115">
        <v>250000</v>
      </c>
      <c r="D327" s="115"/>
      <c r="E327" s="54">
        <f t="shared" si="56"/>
        <v>250000</v>
      </c>
      <c r="F327" s="54"/>
      <c r="G327" s="53">
        <f t="shared" si="52"/>
        <v>250000</v>
      </c>
      <c r="H327" s="53">
        <f>-44000-150000</f>
        <v>-194000</v>
      </c>
      <c r="I327" s="69">
        <f t="shared" si="53"/>
        <v>56000</v>
      </c>
      <c r="J327" s="69">
        <v>120000</v>
      </c>
      <c r="K327" s="53">
        <f t="shared" si="54"/>
        <v>125040</v>
      </c>
      <c r="L327" s="176">
        <f t="shared" si="55"/>
        <v>130541.76000000001</v>
      </c>
      <c r="O327" s="190"/>
    </row>
    <row r="328" spans="1:15" x14ac:dyDescent="0.3">
      <c r="A328" s="52" t="s">
        <v>840</v>
      </c>
      <c r="B328" s="52" t="s">
        <v>841</v>
      </c>
      <c r="C328" s="115">
        <v>240000</v>
      </c>
      <c r="D328" s="115"/>
      <c r="E328" s="54">
        <f t="shared" si="56"/>
        <v>240000</v>
      </c>
      <c r="F328" s="54"/>
      <c r="G328" s="53">
        <f t="shared" si="52"/>
        <v>240000</v>
      </c>
      <c r="H328" s="53">
        <v>-186000</v>
      </c>
      <c r="I328" s="69">
        <f t="shared" si="53"/>
        <v>54000</v>
      </c>
      <c r="J328" s="69">
        <v>120000</v>
      </c>
      <c r="K328" s="53">
        <f t="shared" si="54"/>
        <v>125040</v>
      </c>
      <c r="L328" s="176">
        <f t="shared" si="55"/>
        <v>130541.76000000001</v>
      </c>
      <c r="O328" s="190"/>
    </row>
    <row r="329" spans="1:15" x14ac:dyDescent="0.3">
      <c r="A329" s="52" t="s">
        <v>842</v>
      </c>
      <c r="B329" s="52" t="s">
        <v>843</v>
      </c>
      <c r="C329" s="115">
        <v>200000</v>
      </c>
      <c r="D329" s="115"/>
      <c r="E329" s="54">
        <f t="shared" si="56"/>
        <v>200000</v>
      </c>
      <c r="F329" s="54"/>
      <c r="G329" s="53">
        <f t="shared" si="52"/>
        <v>200000</v>
      </c>
      <c r="H329" s="53">
        <v>200000</v>
      </c>
      <c r="I329" s="69">
        <f t="shared" si="53"/>
        <v>400000</v>
      </c>
      <c r="J329" s="69">
        <v>100000</v>
      </c>
      <c r="K329" s="53">
        <f t="shared" si="54"/>
        <v>104200</v>
      </c>
      <c r="L329" s="176">
        <f t="shared" si="55"/>
        <v>108784.8</v>
      </c>
      <c r="O329" s="190"/>
    </row>
    <row r="330" spans="1:15" x14ac:dyDescent="0.3">
      <c r="A330" s="56"/>
      <c r="B330" s="56"/>
      <c r="C330" s="226"/>
      <c r="D330" s="226"/>
      <c r="E330" s="54"/>
      <c r="F330" s="68"/>
      <c r="G330" s="53"/>
      <c r="H330" s="69"/>
      <c r="I330" s="69"/>
      <c r="J330" s="69"/>
      <c r="K330" s="53">
        <f t="shared" si="54"/>
        <v>0</v>
      </c>
      <c r="L330" s="176">
        <f t="shared" si="55"/>
        <v>0</v>
      </c>
      <c r="O330" s="190"/>
    </row>
    <row r="331" spans="1:15" x14ac:dyDescent="0.3">
      <c r="A331" s="56"/>
      <c r="B331" s="51" t="s">
        <v>1431</v>
      </c>
      <c r="C331" s="226"/>
      <c r="D331" s="226"/>
      <c r="E331" s="54"/>
      <c r="F331" s="68"/>
      <c r="G331" s="53"/>
      <c r="H331" s="69"/>
      <c r="I331" s="69"/>
      <c r="J331" s="69"/>
      <c r="K331" s="53">
        <f t="shared" si="54"/>
        <v>0</v>
      </c>
      <c r="L331" s="176">
        <f t="shared" si="55"/>
        <v>0</v>
      </c>
      <c r="O331" s="190"/>
    </row>
    <row r="332" spans="1:15" x14ac:dyDescent="0.3">
      <c r="A332" s="52" t="s">
        <v>1500</v>
      </c>
      <c r="B332" s="63" t="s">
        <v>1442</v>
      </c>
      <c r="C332" s="226"/>
      <c r="D332" s="226"/>
      <c r="E332" s="54"/>
      <c r="F332" s="68"/>
      <c r="G332" s="53"/>
      <c r="H332" s="69"/>
      <c r="I332" s="69"/>
      <c r="J332" s="69">
        <v>60000</v>
      </c>
      <c r="K332" s="53">
        <f t="shared" si="54"/>
        <v>62520</v>
      </c>
      <c r="L332" s="176">
        <f t="shared" si="55"/>
        <v>65270.880000000005</v>
      </c>
      <c r="O332" s="190"/>
    </row>
    <row r="333" spans="1:15" x14ac:dyDescent="0.3">
      <c r="A333" s="52" t="s">
        <v>1501</v>
      </c>
      <c r="B333" s="63" t="s">
        <v>1432</v>
      </c>
      <c r="C333" s="226"/>
      <c r="D333" s="226"/>
      <c r="E333" s="54"/>
      <c r="F333" s="68"/>
      <c r="G333" s="53"/>
      <c r="H333" s="69"/>
      <c r="I333" s="69"/>
      <c r="J333" s="69">
        <v>100000</v>
      </c>
      <c r="K333" s="53">
        <f t="shared" si="54"/>
        <v>104200</v>
      </c>
      <c r="L333" s="176">
        <f t="shared" si="55"/>
        <v>108784.8</v>
      </c>
      <c r="O333" s="190"/>
    </row>
    <row r="334" spans="1:15" x14ac:dyDescent="0.3">
      <c r="A334" s="52" t="s">
        <v>1502</v>
      </c>
      <c r="B334" s="52" t="s">
        <v>1433</v>
      </c>
      <c r="C334" s="226"/>
      <c r="D334" s="226"/>
      <c r="E334" s="54"/>
      <c r="F334" s="68"/>
      <c r="G334" s="53"/>
      <c r="H334" s="69"/>
      <c r="I334" s="69"/>
      <c r="J334" s="69">
        <v>20000</v>
      </c>
      <c r="K334" s="53">
        <f t="shared" si="54"/>
        <v>20840</v>
      </c>
      <c r="L334" s="176">
        <f t="shared" si="55"/>
        <v>21756.959999999999</v>
      </c>
      <c r="O334" s="190"/>
    </row>
    <row r="335" spans="1:15" x14ac:dyDescent="0.3">
      <c r="A335" s="52" t="s">
        <v>1503</v>
      </c>
      <c r="B335" s="52" t="s">
        <v>1434</v>
      </c>
      <c r="C335" s="226"/>
      <c r="D335" s="226"/>
      <c r="E335" s="54"/>
      <c r="F335" s="68"/>
      <c r="G335" s="53"/>
      <c r="H335" s="69"/>
      <c r="I335" s="69"/>
      <c r="J335" s="69">
        <v>15000</v>
      </c>
      <c r="K335" s="53">
        <f t="shared" si="54"/>
        <v>15630</v>
      </c>
      <c r="L335" s="176">
        <f t="shared" si="55"/>
        <v>16317.720000000001</v>
      </c>
      <c r="O335" s="190"/>
    </row>
    <row r="336" spans="1:15" x14ac:dyDescent="0.3">
      <c r="A336" s="56"/>
      <c r="B336" s="52"/>
      <c r="C336" s="226"/>
      <c r="D336" s="226"/>
      <c r="E336" s="54"/>
      <c r="F336" s="68"/>
      <c r="G336" s="53"/>
      <c r="H336" s="69"/>
      <c r="I336" s="69"/>
      <c r="J336" s="69"/>
      <c r="K336" s="53">
        <f t="shared" si="54"/>
        <v>0</v>
      </c>
      <c r="L336" s="176">
        <f t="shared" si="55"/>
        <v>0</v>
      </c>
      <c r="O336" s="190"/>
    </row>
    <row r="337" spans="1:15" x14ac:dyDescent="0.3">
      <c r="A337" s="56"/>
      <c r="B337" s="51" t="s">
        <v>1435</v>
      </c>
      <c r="C337" s="226"/>
      <c r="D337" s="226"/>
      <c r="E337" s="54"/>
      <c r="F337" s="68"/>
      <c r="G337" s="53"/>
      <c r="H337" s="69"/>
      <c r="I337" s="69"/>
      <c r="J337" s="69"/>
      <c r="K337" s="53">
        <f t="shared" si="54"/>
        <v>0</v>
      </c>
      <c r="L337" s="176">
        <f t="shared" si="55"/>
        <v>0</v>
      </c>
      <c r="O337" s="190"/>
    </row>
    <row r="338" spans="1:15" x14ac:dyDescent="0.3">
      <c r="A338" s="52" t="s">
        <v>1504</v>
      </c>
      <c r="B338" s="52" t="s">
        <v>1436</v>
      </c>
      <c r="C338" s="226"/>
      <c r="D338" s="226"/>
      <c r="E338" s="54"/>
      <c r="F338" s="68"/>
      <c r="G338" s="53"/>
      <c r="H338" s="69"/>
      <c r="I338" s="69"/>
      <c r="J338" s="69">
        <v>0</v>
      </c>
      <c r="K338" s="53">
        <f t="shared" si="54"/>
        <v>0</v>
      </c>
      <c r="L338" s="176">
        <f t="shared" si="55"/>
        <v>0</v>
      </c>
      <c r="O338" s="190"/>
    </row>
    <row r="339" spans="1:15" x14ac:dyDescent="0.3">
      <c r="A339" s="52" t="s">
        <v>1505</v>
      </c>
      <c r="B339" s="52" t="s">
        <v>1437</v>
      </c>
      <c r="C339" s="226"/>
      <c r="D339" s="226"/>
      <c r="E339" s="54"/>
      <c r="F339" s="68"/>
      <c r="G339" s="53"/>
      <c r="H339" s="69"/>
      <c r="I339" s="69"/>
      <c r="J339" s="69">
        <v>100000</v>
      </c>
      <c r="K339" s="53">
        <f t="shared" si="54"/>
        <v>104200</v>
      </c>
      <c r="L339" s="176">
        <f t="shared" si="55"/>
        <v>108784.8</v>
      </c>
      <c r="O339" s="190"/>
    </row>
    <row r="340" spans="1:15" x14ac:dyDescent="0.3">
      <c r="A340" s="52" t="s">
        <v>1506</v>
      </c>
      <c r="B340" s="52" t="s">
        <v>1438</v>
      </c>
      <c r="C340" s="226"/>
      <c r="D340" s="226"/>
      <c r="E340" s="54"/>
      <c r="F340" s="68"/>
      <c r="G340" s="53"/>
      <c r="H340" s="69"/>
      <c r="I340" s="69"/>
      <c r="J340" s="69">
        <v>60000</v>
      </c>
      <c r="K340" s="53">
        <f t="shared" si="54"/>
        <v>62520</v>
      </c>
      <c r="L340" s="176">
        <f t="shared" si="55"/>
        <v>65270.880000000005</v>
      </c>
      <c r="O340" s="190"/>
    </row>
    <row r="341" spans="1:15" x14ac:dyDescent="0.3">
      <c r="A341" s="56"/>
      <c r="B341" s="52"/>
      <c r="C341" s="226"/>
      <c r="D341" s="226"/>
      <c r="E341" s="54"/>
      <c r="F341" s="68"/>
      <c r="G341" s="53"/>
      <c r="H341" s="69"/>
      <c r="I341" s="69"/>
      <c r="J341" s="69"/>
      <c r="K341" s="53">
        <f t="shared" si="54"/>
        <v>0</v>
      </c>
      <c r="L341" s="176">
        <f t="shared" si="55"/>
        <v>0</v>
      </c>
      <c r="O341" s="190"/>
    </row>
    <row r="342" spans="1:15" x14ac:dyDescent="0.3">
      <c r="A342" s="52" t="s">
        <v>1507</v>
      </c>
      <c r="B342" s="52" t="s">
        <v>1439</v>
      </c>
      <c r="C342" s="226"/>
      <c r="D342" s="226"/>
      <c r="E342" s="54"/>
      <c r="F342" s="68"/>
      <c r="G342" s="53"/>
      <c r="H342" s="69"/>
      <c r="I342" s="69"/>
      <c r="J342" s="69">
        <v>150000</v>
      </c>
      <c r="K342" s="53">
        <f t="shared" si="54"/>
        <v>156300</v>
      </c>
      <c r="L342" s="176">
        <f t="shared" si="55"/>
        <v>163177.20000000001</v>
      </c>
      <c r="O342" s="190"/>
    </row>
    <row r="343" spans="1:15" x14ac:dyDescent="0.3">
      <c r="A343" s="52" t="s">
        <v>1508</v>
      </c>
      <c r="B343" s="52" t="s">
        <v>1440</v>
      </c>
      <c r="C343" s="226"/>
      <c r="D343" s="226"/>
      <c r="E343" s="54"/>
      <c r="F343" s="68"/>
      <c r="G343" s="53"/>
      <c r="H343" s="69"/>
      <c r="I343" s="69"/>
      <c r="J343" s="69">
        <v>30000</v>
      </c>
      <c r="K343" s="53">
        <f t="shared" si="54"/>
        <v>31260</v>
      </c>
      <c r="L343" s="176">
        <f t="shared" si="55"/>
        <v>32635.440000000002</v>
      </c>
      <c r="O343" s="190"/>
    </row>
    <row r="344" spans="1:15" ht="14.5" thickBot="1" x14ac:dyDescent="0.35">
      <c r="A344" s="52" t="s">
        <v>1509</v>
      </c>
      <c r="B344" s="52" t="s">
        <v>1441</v>
      </c>
      <c r="C344" s="226"/>
      <c r="D344" s="226"/>
      <c r="E344" s="54"/>
      <c r="F344" s="68"/>
      <c r="G344" s="53"/>
      <c r="H344" s="69"/>
      <c r="I344" s="69"/>
      <c r="J344" s="69">
        <v>30000</v>
      </c>
      <c r="K344" s="53">
        <f t="shared" si="54"/>
        <v>31260</v>
      </c>
      <c r="L344" s="176">
        <f t="shared" si="55"/>
        <v>32635.440000000002</v>
      </c>
      <c r="O344" s="190"/>
    </row>
    <row r="345" spans="1:15" ht="14.5" thickBot="1" x14ac:dyDescent="0.35">
      <c r="A345" s="57" t="s">
        <v>674</v>
      </c>
      <c r="B345" s="57"/>
      <c r="C345" s="92">
        <f t="shared" ref="C345:I345" si="57">SUM(C310:C344)</f>
        <v>6327000</v>
      </c>
      <c r="D345" s="92">
        <f t="shared" si="57"/>
        <v>0</v>
      </c>
      <c r="E345" s="92">
        <f t="shared" si="57"/>
        <v>6327000</v>
      </c>
      <c r="F345" s="92">
        <f t="shared" si="57"/>
        <v>1000000</v>
      </c>
      <c r="G345" s="92">
        <f t="shared" si="57"/>
        <v>7327000</v>
      </c>
      <c r="H345" s="92">
        <f t="shared" si="57"/>
        <v>-693083.83718430996</v>
      </c>
      <c r="I345" s="92">
        <f t="shared" si="57"/>
        <v>6633916.16281569</v>
      </c>
      <c r="J345" s="92">
        <f>SUM(J310:J344)</f>
        <v>6207000</v>
      </c>
      <c r="K345" s="92">
        <f t="shared" ref="K345:L345" si="58">SUM(K310:K344)</f>
        <v>6467694</v>
      </c>
      <c r="L345" s="92">
        <f t="shared" si="58"/>
        <v>6752272.5359999994</v>
      </c>
      <c r="M345" s="191"/>
      <c r="N345" s="192"/>
      <c r="O345" s="192"/>
    </row>
    <row r="346" spans="1:15" ht="14.5" thickTop="1" x14ac:dyDescent="0.3">
      <c r="A346" s="61"/>
      <c r="B346" s="61"/>
      <c r="C346" s="54"/>
      <c r="D346" s="54"/>
      <c r="E346" s="54">
        <f t="shared" si="56"/>
        <v>0</v>
      </c>
      <c r="F346" s="54"/>
      <c r="G346" s="54"/>
      <c r="H346" s="54"/>
      <c r="I346" s="54"/>
      <c r="J346" s="54"/>
      <c r="K346" s="62"/>
      <c r="L346" s="184"/>
    </row>
    <row r="347" spans="1:15" x14ac:dyDescent="0.3">
      <c r="A347" s="51" t="s">
        <v>77</v>
      </c>
      <c r="B347" s="52"/>
      <c r="C347" s="54"/>
      <c r="D347" s="54"/>
      <c r="E347" s="54">
        <f t="shared" si="56"/>
        <v>0</v>
      </c>
      <c r="F347" s="54"/>
      <c r="G347" s="54"/>
      <c r="H347" s="54"/>
      <c r="I347" s="54"/>
      <c r="J347" s="54"/>
      <c r="K347" s="53"/>
      <c r="L347" s="176"/>
    </row>
    <row r="348" spans="1:15" x14ac:dyDescent="0.3">
      <c r="A348" s="52"/>
      <c r="B348" s="52" t="s">
        <v>55</v>
      </c>
      <c r="C348" s="54">
        <v>0</v>
      </c>
      <c r="D348" s="54"/>
      <c r="E348" s="54">
        <f t="shared" si="56"/>
        <v>0</v>
      </c>
      <c r="F348" s="54"/>
      <c r="G348" s="53">
        <f t="shared" ref="G348:G358" si="59">E348+F348</f>
        <v>0</v>
      </c>
      <c r="H348" s="53"/>
      <c r="I348" s="69">
        <f t="shared" ref="I348:I358" si="60">G348+H348</f>
        <v>0</v>
      </c>
      <c r="J348" s="69"/>
      <c r="K348" s="53"/>
      <c r="L348" s="176"/>
      <c r="O348" s="190"/>
    </row>
    <row r="349" spans="1:15" x14ac:dyDescent="0.3">
      <c r="A349" s="52"/>
      <c r="B349" s="52" t="s">
        <v>56</v>
      </c>
      <c r="C349" s="54">
        <v>0</v>
      </c>
      <c r="D349" s="54"/>
      <c r="E349" s="54">
        <f t="shared" si="56"/>
        <v>0</v>
      </c>
      <c r="F349" s="54"/>
      <c r="G349" s="53">
        <f t="shared" si="59"/>
        <v>0</v>
      </c>
      <c r="H349" s="53"/>
      <c r="I349" s="69">
        <f t="shared" si="60"/>
        <v>0</v>
      </c>
      <c r="J349" s="69"/>
      <c r="K349" s="53"/>
      <c r="L349" s="176"/>
      <c r="O349" s="190"/>
    </row>
    <row r="350" spans="1:15" x14ac:dyDescent="0.3">
      <c r="A350" s="52"/>
      <c r="B350" s="52" t="s">
        <v>57</v>
      </c>
      <c r="C350" s="54">
        <v>0</v>
      </c>
      <c r="D350" s="54"/>
      <c r="E350" s="54">
        <f t="shared" si="56"/>
        <v>0</v>
      </c>
      <c r="F350" s="54"/>
      <c r="G350" s="53">
        <f t="shared" si="59"/>
        <v>0</v>
      </c>
      <c r="H350" s="53"/>
      <c r="I350" s="69">
        <f t="shared" si="60"/>
        <v>0</v>
      </c>
      <c r="J350" s="69"/>
      <c r="K350" s="53"/>
      <c r="L350" s="176"/>
      <c r="O350" s="190"/>
    </row>
    <row r="351" spans="1:15" x14ac:dyDescent="0.3">
      <c r="A351" s="52"/>
      <c r="B351" s="52" t="s">
        <v>58</v>
      </c>
      <c r="C351" s="54">
        <v>0</v>
      </c>
      <c r="D351" s="54"/>
      <c r="E351" s="54">
        <f t="shared" si="56"/>
        <v>0</v>
      </c>
      <c r="F351" s="54"/>
      <c r="G351" s="53">
        <f t="shared" si="59"/>
        <v>0</v>
      </c>
      <c r="H351" s="53"/>
      <c r="I351" s="69">
        <f t="shared" si="60"/>
        <v>0</v>
      </c>
      <c r="J351" s="69"/>
      <c r="K351" s="53"/>
      <c r="L351" s="176"/>
      <c r="O351" s="190"/>
    </row>
    <row r="352" spans="1:15" x14ac:dyDescent="0.3">
      <c r="A352" s="52"/>
      <c r="B352" s="52" t="s">
        <v>121</v>
      </c>
      <c r="C352" s="54">
        <v>0</v>
      </c>
      <c r="D352" s="54"/>
      <c r="E352" s="54">
        <f t="shared" si="56"/>
        <v>0</v>
      </c>
      <c r="F352" s="54"/>
      <c r="G352" s="53">
        <f t="shared" si="59"/>
        <v>0</v>
      </c>
      <c r="H352" s="53"/>
      <c r="I352" s="69">
        <f t="shared" si="60"/>
        <v>0</v>
      </c>
      <c r="J352" s="69"/>
      <c r="K352" s="53"/>
      <c r="L352" s="176"/>
      <c r="O352" s="190"/>
    </row>
    <row r="353" spans="1:15" x14ac:dyDescent="0.3">
      <c r="A353" s="52"/>
      <c r="B353" s="52" t="s">
        <v>59</v>
      </c>
      <c r="C353" s="54">
        <v>0</v>
      </c>
      <c r="D353" s="54"/>
      <c r="E353" s="54">
        <f t="shared" si="56"/>
        <v>0</v>
      </c>
      <c r="F353" s="54"/>
      <c r="G353" s="53">
        <f t="shared" si="59"/>
        <v>0</v>
      </c>
      <c r="H353" s="53"/>
      <c r="I353" s="69">
        <f t="shared" si="60"/>
        <v>0</v>
      </c>
      <c r="J353" s="69"/>
      <c r="K353" s="53"/>
      <c r="L353" s="176"/>
      <c r="O353" s="190"/>
    </row>
    <row r="354" spans="1:15" x14ac:dyDescent="0.3">
      <c r="A354" s="52"/>
      <c r="B354" s="52" t="s">
        <v>590</v>
      </c>
      <c r="C354" s="54">
        <v>0</v>
      </c>
      <c r="D354" s="54"/>
      <c r="E354" s="54">
        <f t="shared" si="56"/>
        <v>0</v>
      </c>
      <c r="F354" s="54"/>
      <c r="G354" s="53">
        <f t="shared" si="59"/>
        <v>0</v>
      </c>
      <c r="H354" s="53"/>
      <c r="I354" s="69">
        <f t="shared" si="60"/>
        <v>0</v>
      </c>
      <c r="J354" s="69"/>
      <c r="K354" s="53"/>
      <c r="L354" s="176"/>
      <c r="O354" s="190"/>
    </row>
    <row r="355" spans="1:15" x14ac:dyDescent="0.3">
      <c r="A355" s="52"/>
      <c r="B355" s="52" t="s">
        <v>124</v>
      </c>
      <c r="C355" s="54">
        <v>0</v>
      </c>
      <c r="D355" s="54"/>
      <c r="E355" s="54">
        <f t="shared" si="56"/>
        <v>0</v>
      </c>
      <c r="F355" s="54"/>
      <c r="G355" s="53">
        <f t="shared" si="59"/>
        <v>0</v>
      </c>
      <c r="H355" s="53"/>
      <c r="I355" s="69">
        <f t="shared" si="60"/>
        <v>0</v>
      </c>
      <c r="J355" s="69"/>
      <c r="K355" s="53"/>
      <c r="L355" s="176"/>
      <c r="O355" s="190"/>
    </row>
    <row r="356" spans="1:15" x14ac:dyDescent="0.3">
      <c r="A356" s="52"/>
      <c r="B356" s="52" t="s">
        <v>60</v>
      </c>
      <c r="C356" s="54">
        <v>0</v>
      </c>
      <c r="D356" s="54"/>
      <c r="E356" s="54">
        <f t="shared" si="56"/>
        <v>0</v>
      </c>
      <c r="F356" s="54"/>
      <c r="G356" s="53">
        <f t="shared" si="59"/>
        <v>0</v>
      </c>
      <c r="H356" s="53"/>
      <c r="I356" s="69">
        <f t="shared" si="60"/>
        <v>0</v>
      </c>
      <c r="J356" s="69"/>
      <c r="K356" s="53"/>
      <c r="L356" s="176"/>
      <c r="O356" s="190"/>
    </row>
    <row r="357" spans="1:15" x14ac:dyDescent="0.3">
      <c r="A357" s="52"/>
      <c r="B357" s="52" t="s">
        <v>61</v>
      </c>
      <c r="C357" s="54">
        <v>0</v>
      </c>
      <c r="D357" s="54"/>
      <c r="E357" s="54">
        <f t="shared" si="56"/>
        <v>0</v>
      </c>
      <c r="F357" s="54"/>
      <c r="G357" s="53">
        <f t="shared" si="59"/>
        <v>0</v>
      </c>
      <c r="H357" s="53"/>
      <c r="I357" s="69">
        <f t="shared" si="60"/>
        <v>0</v>
      </c>
      <c r="J357" s="69"/>
      <c r="K357" s="53"/>
      <c r="L357" s="176"/>
      <c r="O357" s="190"/>
    </row>
    <row r="358" spans="1:15" ht="14.5" thickBot="1" x14ac:dyDescent="0.35">
      <c r="A358" s="56"/>
      <c r="B358" s="56" t="s">
        <v>62</v>
      </c>
      <c r="C358" s="54">
        <v>0</v>
      </c>
      <c r="D358" s="54"/>
      <c r="E358" s="54">
        <f t="shared" si="56"/>
        <v>0</v>
      </c>
      <c r="F358" s="54"/>
      <c r="G358" s="53">
        <f t="shared" si="59"/>
        <v>0</v>
      </c>
      <c r="H358" s="53"/>
      <c r="I358" s="69">
        <f t="shared" si="60"/>
        <v>0</v>
      </c>
      <c r="J358" s="69"/>
      <c r="K358" s="53"/>
      <c r="L358" s="176"/>
      <c r="O358" s="190"/>
    </row>
    <row r="359" spans="1:15" ht="14.5" thickBot="1" x14ac:dyDescent="0.35">
      <c r="A359" s="57" t="s">
        <v>257</v>
      </c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198"/>
    </row>
    <row r="360" spans="1:15" ht="15" thickTop="1" thickBot="1" x14ac:dyDescent="0.35">
      <c r="A360" s="73"/>
      <c r="B360" s="73"/>
      <c r="C360" s="68"/>
      <c r="D360" s="68"/>
      <c r="E360" s="54">
        <f t="shared" si="56"/>
        <v>0</v>
      </c>
      <c r="F360" s="68"/>
      <c r="G360" s="68"/>
      <c r="H360" s="68"/>
      <c r="I360" s="68"/>
      <c r="J360" s="68"/>
      <c r="K360" s="79"/>
      <c r="L360" s="179"/>
    </row>
    <row r="361" spans="1:15" ht="14.5" thickBot="1" x14ac:dyDescent="0.35">
      <c r="A361" s="70" t="s">
        <v>697</v>
      </c>
      <c r="B361" s="70"/>
      <c r="C361" s="71">
        <f>C359+C345</f>
        <v>6327000</v>
      </c>
      <c r="D361" s="71">
        <f t="shared" ref="D361:L361" si="61">D359+D345</f>
        <v>0</v>
      </c>
      <c r="E361" s="71">
        <f t="shared" si="61"/>
        <v>6327000</v>
      </c>
      <c r="F361" s="71">
        <f t="shared" si="61"/>
        <v>1000000</v>
      </c>
      <c r="G361" s="71">
        <f t="shared" si="61"/>
        <v>7327000</v>
      </c>
      <c r="H361" s="71">
        <f t="shared" si="61"/>
        <v>-693083.83718430996</v>
      </c>
      <c r="I361" s="71">
        <f t="shared" si="61"/>
        <v>6633916.16281569</v>
      </c>
      <c r="J361" s="71">
        <f>J359+J345</f>
        <v>6207000</v>
      </c>
      <c r="K361" s="71">
        <f t="shared" si="61"/>
        <v>6467694</v>
      </c>
      <c r="L361" s="71">
        <f t="shared" si="61"/>
        <v>6752272.5359999994</v>
      </c>
      <c r="M361" s="191"/>
      <c r="N361" s="192"/>
      <c r="O361" s="192"/>
    </row>
    <row r="362" spans="1:15" ht="14.5" thickTop="1" x14ac:dyDescent="0.3">
      <c r="A362" s="61"/>
      <c r="B362" s="61"/>
      <c r="C362" s="54"/>
      <c r="D362" s="54"/>
      <c r="E362" s="54">
        <f t="shared" si="56"/>
        <v>0</v>
      </c>
      <c r="F362" s="54"/>
      <c r="G362" s="54"/>
      <c r="H362" s="54"/>
      <c r="I362" s="54"/>
      <c r="J362" s="54"/>
      <c r="K362" s="62"/>
      <c r="L362" s="184"/>
    </row>
    <row r="363" spans="1:15" x14ac:dyDescent="0.3">
      <c r="A363" s="61"/>
      <c r="B363" s="61"/>
      <c r="C363" s="54"/>
      <c r="D363" s="54"/>
      <c r="E363" s="54"/>
      <c r="F363" s="54"/>
      <c r="G363" s="54"/>
      <c r="H363" s="54"/>
      <c r="I363" s="68"/>
      <c r="J363" s="68"/>
      <c r="K363" s="62"/>
      <c r="L363" s="184"/>
    </row>
    <row r="364" spans="1:15" x14ac:dyDescent="0.3">
      <c r="A364" s="51" t="s">
        <v>1428</v>
      </c>
      <c r="B364" s="51"/>
      <c r="C364" s="54"/>
      <c r="D364" s="54"/>
      <c r="E364" s="54"/>
      <c r="F364" s="54"/>
      <c r="G364" s="53"/>
      <c r="H364" s="53"/>
      <c r="I364" s="69"/>
      <c r="J364" s="69"/>
      <c r="K364" s="53"/>
      <c r="L364" s="176"/>
      <c r="O364" s="190"/>
    </row>
    <row r="365" spans="1:15" x14ac:dyDescent="0.3">
      <c r="A365" s="51"/>
      <c r="B365" s="51"/>
      <c r="C365" s="54"/>
      <c r="D365" s="54"/>
      <c r="E365" s="54"/>
      <c r="F365" s="54"/>
      <c r="G365" s="53"/>
      <c r="H365" s="53"/>
      <c r="I365" s="69"/>
      <c r="J365" s="69"/>
      <c r="K365" s="53"/>
      <c r="L365" s="176"/>
      <c r="O365" s="190"/>
    </row>
    <row r="366" spans="1:15" x14ac:dyDescent="0.3">
      <c r="A366" s="52" t="s">
        <v>1510</v>
      </c>
      <c r="B366" s="52" t="s">
        <v>46</v>
      </c>
      <c r="C366" s="54"/>
      <c r="D366" s="54"/>
      <c r="E366" s="54"/>
      <c r="F366" s="54"/>
      <c r="G366" s="53"/>
      <c r="H366" s="53"/>
      <c r="I366" s="69"/>
      <c r="J366" s="69">
        <v>1600000</v>
      </c>
      <c r="K366" s="53">
        <f t="shared" ref="K366:K373" si="62">J366*104.2%</f>
        <v>1667200</v>
      </c>
      <c r="L366" s="176">
        <f t="shared" ref="L366:L373" si="63">K366*104.4%</f>
        <v>1740556.8</v>
      </c>
      <c r="O366" s="190"/>
    </row>
    <row r="367" spans="1:15" x14ac:dyDescent="0.3">
      <c r="A367" s="52" t="s">
        <v>1511</v>
      </c>
      <c r="B367" s="52" t="s">
        <v>1209</v>
      </c>
      <c r="C367" s="54"/>
      <c r="D367" s="54"/>
      <c r="E367" s="54"/>
      <c r="F367" s="54"/>
      <c r="G367" s="53"/>
      <c r="H367" s="53"/>
      <c r="I367" s="69"/>
      <c r="J367" s="69">
        <v>800000</v>
      </c>
      <c r="K367" s="53">
        <f t="shared" si="62"/>
        <v>833600</v>
      </c>
      <c r="L367" s="176">
        <f t="shared" si="63"/>
        <v>870278.4</v>
      </c>
      <c r="O367" s="190"/>
    </row>
    <row r="368" spans="1:15" x14ac:dyDescent="0.3">
      <c r="A368" s="52" t="s">
        <v>1512</v>
      </c>
      <c r="B368" s="52" t="s">
        <v>1377</v>
      </c>
      <c r="C368" s="54"/>
      <c r="D368" s="54"/>
      <c r="E368" s="54"/>
      <c r="F368" s="54"/>
      <c r="G368" s="53"/>
      <c r="H368" s="53"/>
      <c r="I368" s="69"/>
      <c r="J368" s="69">
        <v>300000</v>
      </c>
      <c r="K368" s="53">
        <f t="shared" si="62"/>
        <v>312600</v>
      </c>
      <c r="L368" s="176">
        <f t="shared" si="63"/>
        <v>326354.40000000002</v>
      </c>
      <c r="M368" s="200">
        <v>300000</v>
      </c>
      <c r="N368" s="201">
        <v>312600</v>
      </c>
      <c r="O368" s="190">
        <v>326354.40000000002</v>
      </c>
    </row>
    <row r="369" spans="1:17" x14ac:dyDescent="0.3">
      <c r="A369" s="52" t="s">
        <v>1512</v>
      </c>
      <c r="B369" s="52" t="s">
        <v>47</v>
      </c>
      <c r="C369" s="54"/>
      <c r="D369" s="54"/>
      <c r="E369" s="54"/>
      <c r="F369" s="54"/>
      <c r="G369" s="53"/>
      <c r="H369" s="53"/>
      <c r="I369" s="69"/>
      <c r="J369" s="69">
        <v>5000</v>
      </c>
      <c r="K369" s="53">
        <f t="shared" si="62"/>
        <v>5210</v>
      </c>
      <c r="L369" s="176">
        <f t="shared" si="63"/>
        <v>5439.24</v>
      </c>
      <c r="M369" s="200">
        <v>5000</v>
      </c>
      <c r="N369" s="201">
        <v>5210</v>
      </c>
      <c r="O369" s="190">
        <v>5439.24</v>
      </c>
    </row>
    <row r="370" spans="1:17" x14ac:dyDescent="0.3">
      <c r="A370" s="52" t="s">
        <v>1512</v>
      </c>
      <c r="B370" s="52" t="s">
        <v>1378</v>
      </c>
      <c r="C370" s="54"/>
      <c r="D370" s="54"/>
      <c r="E370" s="54"/>
      <c r="F370" s="54"/>
      <c r="G370" s="53"/>
      <c r="H370" s="53"/>
      <c r="I370" s="69"/>
      <c r="J370" s="69">
        <v>5000</v>
      </c>
      <c r="K370" s="53">
        <f t="shared" si="62"/>
        <v>5210</v>
      </c>
      <c r="L370" s="176">
        <f t="shared" si="63"/>
        <v>5439.24</v>
      </c>
      <c r="M370" s="200">
        <v>5000</v>
      </c>
      <c r="N370" s="201">
        <v>5210</v>
      </c>
      <c r="O370" s="190">
        <v>5439.24</v>
      </c>
    </row>
    <row r="371" spans="1:17" x14ac:dyDescent="0.3">
      <c r="A371" s="52" t="s">
        <v>1512</v>
      </c>
      <c r="B371" s="52" t="s">
        <v>1379</v>
      </c>
      <c r="C371" s="54"/>
      <c r="D371" s="54"/>
      <c r="E371" s="54"/>
      <c r="F371" s="54"/>
      <c r="G371" s="53"/>
      <c r="H371" s="53"/>
      <c r="I371" s="69"/>
      <c r="J371" s="69">
        <v>10000</v>
      </c>
      <c r="K371" s="53">
        <f t="shared" si="62"/>
        <v>10420</v>
      </c>
      <c r="L371" s="176">
        <f t="shared" si="63"/>
        <v>10878.48</v>
      </c>
      <c r="M371" s="200">
        <v>10000</v>
      </c>
      <c r="N371" s="201">
        <v>10420</v>
      </c>
      <c r="O371" s="190">
        <v>10878.48</v>
      </c>
    </row>
    <row r="372" spans="1:17" x14ac:dyDescent="0.3">
      <c r="A372" s="52" t="s">
        <v>1512</v>
      </c>
      <c r="B372" s="52" t="s">
        <v>1380</v>
      </c>
      <c r="C372" s="54"/>
      <c r="D372" s="54"/>
      <c r="E372" s="54"/>
      <c r="F372" s="54"/>
      <c r="G372" s="53"/>
      <c r="H372" s="53"/>
      <c r="I372" s="69"/>
      <c r="J372" s="69">
        <v>10000</v>
      </c>
      <c r="K372" s="53">
        <f t="shared" si="62"/>
        <v>10420</v>
      </c>
      <c r="L372" s="176">
        <f t="shared" si="63"/>
        <v>10878.48</v>
      </c>
      <c r="M372" s="200">
        <v>10000</v>
      </c>
      <c r="N372" s="201">
        <v>10420</v>
      </c>
      <c r="O372" s="190">
        <v>10878.48</v>
      </c>
    </row>
    <row r="373" spans="1:17" x14ac:dyDescent="0.3">
      <c r="A373" s="52" t="s">
        <v>1513</v>
      </c>
      <c r="B373" s="52" t="s">
        <v>40</v>
      </c>
      <c r="C373" s="115"/>
      <c r="D373" s="115"/>
      <c r="E373" s="115">
        <v>0</v>
      </c>
      <c r="F373" s="115"/>
      <c r="G373" s="53"/>
      <c r="H373" s="53"/>
      <c r="I373" s="53"/>
      <c r="J373" s="53">
        <v>50000</v>
      </c>
      <c r="K373" s="53">
        <f t="shared" si="62"/>
        <v>52100</v>
      </c>
      <c r="L373" s="176">
        <f t="shared" si="63"/>
        <v>54392.4</v>
      </c>
      <c r="M373" s="200">
        <f t="shared" ref="M373:O373" si="64">SUM(M368:M372)</f>
        <v>330000</v>
      </c>
      <c r="N373" s="201">
        <f t="shared" si="64"/>
        <v>343860</v>
      </c>
      <c r="O373" s="190">
        <f t="shared" si="64"/>
        <v>358989.83999999997</v>
      </c>
    </row>
    <row r="374" spans="1:17" ht="14.5" thickBot="1" x14ac:dyDescent="0.35">
      <c r="A374" s="84"/>
      <c r="B374" s="84"/>
      <c r="C374" s="113"/>
      <c r="D374" s="113"/>
      <c r="E374" s="113"/>
      <c r="F374" s="113"/>
      <c r="G374" s="113"/>
      <c r="H374" s="113"/>
      <c r="I374" s="113"/>
      <c r="J374" s="113"/>
      <c r="K374" s="114"/>
      <c r="L374" s="114"/>
    </row>
    <row r="375" spans="1:17" ht="14.5" thickBot="1" x14ac:dyDescent="0.35">
      <c r="A375" s="75" t="s">
        <v>1429</v>
      </c>
      <c r="B375" s="75"/>
      <c r="C375" s="162"/>
      <c r="D375" s="162"/>
      <c r="E375" s="162"/>
      <c r="F375" s="162"/>
      <c r="G375" s="162"/>
      <c r="H375" s="162"/>
      <c r="I375" s="162"/>
      <c r="J375" s="162">
        <f>SUM(J366:J374)</f>
        <v>2780000</v>
      </c>
      <c r="K375" s="162">
        <f t="shared" ref="K375:L375" si="65">SUM(K366:K374)</f>
        <v>2896760</v>
      </c>
      <c r="L375" s="162">
        <f t="shared" si="65"/>
        <v>3024217.4400000004</v>
      </c>
    </row>
    <row r="376" spans="1:17" x14ac:dyDescent="0.3">
      <c r="A376" s="61"/>
      <c r="B376" s="61"/>
      <c r="C376" s="54"/>
      <c r="D376" s="54"/>
      <c r="E376" s="54"/>
      <c r="F376" s="54"/>
      <c r="G376" s="54"/>
      <c r="H376" s="54"/>
      <c r="I376" s="54"/>
      <c r="J376" s="54"/>
      <c r="K376" s="62"/>
      <c r="L376" s="184"/>
    </row>
    <row r="377" spans="1:17" x14ac:dyDescent="0.3">
      <c r="A377" s="55" t="s">
        <v>730</v>
      </c>
      <c r="B377" s="56"/>
      <c r="C377" s="54"/>
      <c r="D377" s="54"/>
      <c r="E377" s="54"/>
      <c r="F377" s="54"/>
      <c r="G377" s="54"/>
      <c r="H377" s="54"/>
      <c r="I377" s="54"/>
      <c r="J377" s="54"/>
      <c r="K377" s="62"/>
      <c r="L377" s="184"/>
    </row>
    <row r="378" spans="1:17" x14ac:dyDescent="0.3">
      <c r="A378" s="56"/>
      <c r="B378" s="56"/>
      <c r="C378" s="54"/>
      <c r="D378" s="54"/>
      <c r="E378" s="54"/>
      <c r="F378" s="54"/>
      <c r="G378" s="54"/>
      <c r="H378" s="54"/>
      <c r="I378" s="54"/>
      <c r="J378" s="54"/>
      <c r="K378" s="62"/>
      <c r="L378" s="184"/>
    </row>
    <row r="379" spans="1:17" x14ac:dyDescent="0.3">
      <c r="A379" s="51" t="s">
        <v>458</v>
      </c>
      <c r="B379" s="173"/>
      <c r="C379" s="54"/>
      <c r="D379" s="54"/>
      <c r="E379" s="54"/>
      <c r="F379" s="54"/>
      <c r="G379" s="54"/>
      <c r="H379" s="54"/>
      <c r="I379" s="54"/>
      <c r="J379" s="54"/>
      <c r="K379" s="62"/>
      <c r="L379" s="184"/>
    </row>
    <row r="380" spans="1:17" x14ac:dyDescent="0.3">
      <c r="A380" s="56"/>
      <c r="B380" s="56"/>
      <c r="C380" s="54"/>
      <c r="D380" s="54"/>
      <c r="E380" s="54"/>
      <c r="F380" s="54"/>
      <c r="G380" s="54"/>
      <c r="H380" s="54"/>
      <c r="I380" s="54"/>
      <c r="J380" s="54"/>
      <c r="K380" s="62"/>
      <c r="L380" s="184"/>
    </row>
    <row r="381" spans="1:17" x14ac:dyDescent="0.3">
      <c r="A381" s="56" t="s">
        <v>1514</v>
      </c>
      <c r="B381" s="56" t="s">
        <v>203</v>
      </c>
      <c r="C381" s="54"/>
      <c r="D381" s="54"/>
      <c r="E381" s="54"/>
      <c r="F381" s="54"/>
      <c r="G381" s="54"/>
      <c r="H381" s="54"/>
      <c r="I381" s="54"/>
      <c r="J381" s="54">
        <v>2500000</v>
      </c>
      <c r="K381" s="53">
        <f>J381*104.2%</f>
        <v>2605000</v>
      </c>
      <c r="L381" s="176">
        <v>800000</v>
      </c>
    </row>
    <row r="382" spans="1:17" ht="14.5" thickBot="1" x14ac:dyDescent="0.35">
      <c r="A382" s="52" t="s">
        <v>1514</v>
      </c>
      <c r="B382" s="52" t="s">
        <v>428</v>
      </c>
      <c r="C382" s="54"/>
      <c r="D382" s="54"/>
      <c r="E382" s="54"/>
      <c r="F382" s="54"/>
      <c r="G382" s="54"/>
      <c r="H382" s="54"/>
      <c r="I382" s="54"/>
      <c r="J382" s="54">
        <v>50000</v>
      </c>
      <c r="K382" s="53">
        <f>J382*104.2%</f>
        <v>52100</v>
      </c>
      <c r="L382" s="176">
        <f>K382*104.4%</f>
        <v>54392.4</v>
      </c>
    </row>
    <row r="383" spans="1:17" s="168" customFormat="1" ht="14.5" thickBot="1" x14ac:dyDescent="0.35">
      <c r="A383" s="75" t="s">
        <v>1430</v>
      </c>
      <c r="B383" s="75"/>
      <c r="C383" s="162"/>
      <c r="D383" s="162"/>
      <c r="E383" s="162"/>
      <c r="F383" s="162"/>
      <c r="G383" s="162"/>
      <c r="H383" s="162"/>
      <c r="I383" s="162"/>
      <c r="J383" s="162">
        <f>SUM(J381:J382)</f>
        <v>2550000</v>
      </c>
      <c r="K383" s="162">
        <f>SUM(K381:K382)</f>
        <v>2657100</v>
      </c>
      <c r="L383" s="162">
        <f>SUM(L381:L382)</f>
        <v>854392.4</v>
      </c>
      <c r="M383" s="205"/>
      <c r="N383" s="204"/>
      <c r="O383" s="204"/>
      <c r="P383" s="204"/>
      <c r="Q383" s="170"/>
    </row>
    <row r="384" spans="1:17" x14ac:dyDescent="0.3">
      <c r="A384" s="61"/>
      <c r="B384" s="61"/>
      <c r="C384" s="54"/>
      <c r="D384" s="54"/>
      <c r="E384" s="54"/>
      <c r="F384" s="54"/>
      <c r="G384" s="54"/>
      <c r="H384" s="54"/>
      <c r="I384" s="54"/>
      <c r="J384" s="54"/>
      <c r="K384" s="62"/>
      <c r="L384" s="184"/>
    </row>
    <row r="385" spans="1:15" x14ac:dyDescent="0.3">
      <c r="A385" s="51" t="s">
        <v>695</v>
      </c>
      <c r="B385" s="52"/>
      <c r="C385" s="54"/>
      <c r="D385" s="54"/>
      <c r="E385" s="54">
        <f t="shared" si="56"/>
        <v>0</v>
      </c>
      <c r="F385" s="54"/>
      <c r="G385" s="54"/>
      <c r="H385" s="54"/>
      <c r="I385" s="54"/>
      <c r="J385" s="54"/>
      <c r="K385" s="53"/>
      <c r="L385" s="176"/>
    </row>
    <row r="386" spans="1:15" x14ac:dyDescent="0.3">
      <c r="A386" s="50" t="s">
        <v>73</v>
      </c>
      <c r="B386" s="52"/>
      <c r="C386" s="54"/>
      <c r="D386" s="54"/>
      <c r="E386" s="54">
        <f t="shared" si="56"/>
        <v>0</v>
      </c>
      <c r="F386" s="54"/>
      <c r="G386" s="54"/>
      <c r="H386" s="54"/>
      <c r="I386" s="54"/>
      <c r="J386" s="54"/>
      <c r="K386" s="53"/>
      <c r="L386" s="176"/>
    </row>
    <row r="387" spans="1:15" x14ac:dyDescent="0.3">
      <c r="A387" s="51" t="s">
        <v>72</v>
      </c>
      <c r="B387" s="52"/>
      <c r="C387" s="54"/>
      <c r="D387" s="54"/>
      <c r="E387" s="54"/>
      <c r="F387" s="54"/>
      <c r="G387" s="54"/>
      <c r="H387" s="54"/>
      <c r="I387" s="54"/>
      <c r="J387" s="54"/>
      <c r="K387" s="53"/>
      <c r="L387" s="176"/>
    </row>
    <row r="388" spans="1:15" ht="14.5" thickBot="1" x14ac:dyDescent="0.35">
      <c r="A388" s="69" t="s">
        <v>1231</v>
      </c>
      <c r="B388" s="56" t="s">
        <v>1232</v>
      </c>
      <c r="C388" s="68"/>
      <c r="D388" s="68">
        <v>-500000</v>
      </c>
      <c r="E388" s="68">
        <f t="shared" si="56"/>
        <v>-500000</v>
      </c>
      <c r="F388" s="68"/>
      <c r="G388" s="69">
        <f t="shared" ref="G388" si="66">E388+F388</f>
        <v>-500000</v>
      </c>
      <c r="H388" s="69"/>
      <c r="I388" s="69">
        <f>G388+H388</f>
        <v>-500000</v>
      </c>
      <c r="J388" s="68"/>
      <c r="K388" s="69"/>
      <c r="L388" s="186"/>
      <c r="O388" s="190"/>
    </row>
    <row r="389" spans="1:15" ht="14.5" thickBot="1" x14ac:dyDescent="0.35">
      <c r="A389" s="100" t="s">
        <v>200</v>
      </c>
      <c r="B389" s="75"/>
      <c r="C389" s="162">
        <f>SUM(C388)</f>
        <v>0</v>
      </c>
      <c r="D389" s="162">
        <f>SUM(D388)</f>
        <v>-500000</v>
      </c>
      <c r="E389" s="162">
        <f t="shared" ref="E389:L390" si="67">SUM(E388)</f>
        <v>-500000</v>
      </c>
      <c r="F389" s="162">
        <f t="shared" si="67"/>
        <v>0</v>
      </c>
      <c r="G389" s="162">
        <f t="shared" si="67"/>
        <v>-500000</v>
      </c>
      <c r="H389" s="162">
        <f t="shared" si="67"/>
        <v>0</v>
      </c>
      <c r="I389" s="162">
        <f t="shared" si="67"/>
        <v>-500000</v>
      </c>
      <c r="J389" s="155"/>
      <c r="K389" s="162">
        <f t="shared" si="67"/>
        <v>0</v>
      </c>
      <c r="L389" s="162">
        <f t="shared" si="67"/>
        <v>0</v>
      </c>
      <c r="M389" s="191"/>
      <c r="N389" s="192"/>
      <c r="O389" s="192"/>
    </row>
    <row r="390" spans="1:15" x14ac:dyDescent="0.3">
      <c r="A390" s="61"/>
      <c r="B390" s="61"/>
      <c r="C390" s="54"/>
      <c r="D390" s="54"/>
      <c r="E390" s="54"/>
      <c r="F390" s="54"/>
      <c r="G390" s="54"/>
      <c r="H390" s="54"/>
      <c r="I390" s="54"/>
      <c r="J390" s="161">
        <f t="shared" si="67"/>
        <v>0</v>
      </c>
      <c r="K390" s="62"/>
      <c r="L390" s="184"/>
    </row>
    <row r="391" spans="1:15" x14ac:dyDescent="0.3">
      <c r="A391" s="51" t="s">
        <v>458</v>
      </c>
      <c r="B391" s="52"/>
      <c r="C391" s="54"/>
      <c r="D391" s="54"/>
      <c r="E391" s="54">
        <f t="shared" si="56"/>
        <v>0</v>
      </c>
      <c r="F391" s="54"/>
      <c r="G391" s="54"/>
      <c r="H391" s="54"/>
      <c r="I391" s="54"/>
      <c r="J391" s="54"/>
      <c r="K391" s="53"/>
      <c r="L391" s="176"/>
    </row>
    <row r="392" spans="1:15" x14ac:dyDescent="0.3">
      <c r="A392" s="52"/>
      <c r="B392" s="51" t="s">
        <v>459</v>
      </c>
      <c r="C392" s="54"/>
      <c r="D392" s="54"/>
      <c r="E392" s="54">
        <f t="shared" si="56"/>
        <v>0</v>
      </c>
      <c r="F392" s="54"/>
      <c r="G392" s="54"/>
      <c r="H392" s="54"/>
      <c r="I392" s="54"/>
      <c r="J392" s="54"/>
      <c r="K392" s="53"/>
      <c r="L392" s="176"/>
    </row>
    <row r="393" spans="1:15" x14ac:dyDescent="0.3">
      <c r="A393" s="52" t="s">
        <v>102</v>
      </c>
      <c r="B393" s="52" t="s">
        <v>44</v>
      </c>
      <c r="C393" s="54">
        <v>0</v>
      </c>
      <c r="D393" s="54"/>
      <c r="E393" s="54">
        <f t="shared" si="56"/>
        <v>0</v>
      </c>
      <c r="F393" s="54"/>
      <c r="G393" s="53">
        <f t="shared" ref="G393:G422" si="68">E393+F393</f>
        <v>0</v>
      </c>
      <c r="H393" s="53">
        <v>28575.34</v>
      </c>
      <c r="I393" s="69">
        <f t="shared" ref="I393:I422" si="69">G393+H393</f>
        <v>28575.34</v>
      </c>
      <c r="J393" s="54">
        <v>30000</v>
      </c>
      <c r="K393" s="53">
        <f t="shared" ref="K393:K422" si="70">J393*104.2%</f>
        <v>31260</v>
      </c>
      <c r="L393" s="176">
        <f t="shared" ref="L393:L422" si="71">K393*104.4%</f>
        <v>32635.440000000002</v>
      </c>
      <c r="O393" s="190"/>
    </row>
    <row r="394" spans="1:15" x14ac:dyDescent="0.3">
      <c r="A394" s="52" t="s">
        <v>96</v>
      </c>
      <c r="B394" s="52" t="s">
        <v>97</v>
      </c>
      <c r="C394" s="54">
        <v>0</v>
      </c>
      <c r="D394" s="54"/>
      <c r="E394" s="54">
        <f t="shared" si="56"/>
        <v>0</v>
      </c>
      <c r="F394" s="54"/>
      <c r="G394" s="53">
        <f t="shared" si="68"/>
        <v>0</v>
      </c>
      <c r="H394" s="53"/>
      <c r="I394" s="69">
        <f t="shared" si="69"/>
        <v>0</v>
      </c>
      <c r="J394" s="69"/>
      <c r="K394" s="53">
        <f t="shared" si="70"/>
        <v>0</v>
      </c>
      <c r="L394" s="176">
        <f t="shared" si="71"/>
        <v>0</v>
      </c>
      <c r="O394" s="190"/>
    </row>
    <row r="395" spans="1:15" x14ac:dyDescent="0.3">
      <c r="A395" s="52" t="s">
        <v>109</v>
      </c>
      <c r="B395" s="52" t="s">
        <v>110</v>
      </c>
      <c r="C395" s="54">
        <v>0</v>
      </c>
      <c r="D395" s="54"/>
      <c r="E395" s="54">
        <f t="shared" si="56"/>
        <v>0</v>
      </c>
      <c r="F395" s="54"/>
      <c r="G395" s="53">
        <f t="shared" si="68"/>
        <v>0</v>
      </c>
      <c r="H395" s="53"/>
      <c r="I395" s="69">
        <f t="shared" si="69"/>
        <v>0</v>
      </c>
      <c r="J395" s="69"/>
      <c r="K395" s="53">
        <f t="shared" si="70"/>
        <v>0</v>
      </c>
      <c r="L395" s="176">
        <f t="shared" si="71"/>
        <v>0</v>
      </c>
      <c r="O395" s="190"/>
    </row>
    <row r="396" spans="1:15" x14ac:dyDescent="0.3">
      <c r="A396" s="52" t="s">
        <v>100</v>
      </c>
      <c r="B396" s="52" t="s">
        <v>101</v>
      </c>
      <c r="C396" s="54">
        <v>0</v>
      </c>
      <c r="D396" s="54"/>
      <c r="E396" s="54">
        <f t="shared" si="56"/>
        <v>0</v>
      </c>
      <c r="F396" s="54"/>
      <c r="G396" s="53">
        <f t="shared" si="68"/>
        <v>0</v>
      </c>
      <c r="H396" s="53"/>
      <c r="I396" s="69">
        <f t="shared" si="69"/>
        <v>0</v>
      </c>
      <c r="J396" s="69">
        <v>30000</v>
      </c>
      <c r="K396" s="53">
        <f t="shared" si="70"/>
        <v>31260</v>
      </c>
      <c r="L396" s="176">
        <f t="shared" si="71"/>
        <v>32635.440000000002</v>
      </c>
      <c r="O396" s="190"/>
    </row>
    <row r="397" spans="1:15" x14ac:dyDescent="0.3">
      <c r="A397" s="52" t="s">
        <v>95</v>
      </c>
      <c r="B397" s="52" t="s">
        <v>43</v>
      </c>
      <c r="C397" s="54">
        <v>0</v>
      </c>
      <c r="D397" s="54"/>
      <c r="E397" s="54">
        <f t="shared" si="56"/>
        <v>0</v>
      </c>
      <c r="F397" s="54"/>
      <c r="G397" s="53">
        <f t="shared" si="68"/>
        <v>0</v>
      </c>
      <c r="H397" s="53">
        <v>834</v>
      </c>
      <c r="I397" s="69">
        <f t="shared" si="69"/>
        <v>834</v>
      </c>
      <c r="J397" s="69"/>
      <c r="K397" s="53">
        <f t="shared" si="70"/>
        <v>0</v>
      </c>
      <c r="L397" s="176">
        <f t="shared" si="71"/>
        <v>0</v>
      </c>
      <c r="O397" s="190"/>
    </row>
    <row r="398" spans="1:15" x14ac:dyDescent="0.3">
      <c r="A398" s="52" t="s">
        <v>107</v>
      </c>
      <c r="B398" s="52" t="s">
        <v>108</v>
      </c>
      <c r="C398" s="54">
        <v>0</v>
      </c>
      <c r="D398" s="54"/>
      <c r="E398" s="54">
        <f t="shared" si="56"/>
        <v>0</v>
      </c>
      <c r="F398" s="54"/>
      <c r="G398" s="53">
        <f t="shared" si="68"/>
        <v>0</v>
      </c>
      <c r="H398" s="53"/>
      <c r="I398" s="69">
        <f t="shared" si="69"/>
        <v>0</v>
      </c>
      <c r="J398" s="69">
        <v>60000</v>
      </c>
      <c r="K398" s="53">
        <f t="shared" si="70"/>
        <v>62520</v>
      </c>
      <c r="L398" s="176">
        <f t="shared" si="71"/>
        <v>65270.880000000005</v>
      </c>
      <c r="O398" s="190"/>
    </row>
    <row r="399" spans="1:15" x14ac:dyDescent="0.3">
      <c r="A399" s="52" t="s">
        <v>98</v>
      </c>
      <c r="B399" s="52" t="s">
        <v>99</v>
      </c>
      <c r="C399" s="54">
        <v>0</v>
      </c>
      <c r="D399" s="54"/>
      <c r="E399" s="54">
        <f t="shared" si="56"/>
        <v>0</v>
      </c>
      <c r="F399" s="54"/>
      <c r="G399" s="53">
        <f t="shared" si="68"/>
        <v>0</v>
      </c>
      <c r="H399" s="53"/>
      <c r="I399" s="69">
        <f t="shared" si="69"/>
        <v>0</v>
      </c>
      <c r="J399" s="69"/>
      <c r="K399" s="53">
        <f t="shared" si="70"/>
        <v>0</v>
      </c>
      <c r="L399" s="176">
        <f t="shared" si="71"/>
        <v>0</v>
      </c>
      <c r="O399" s="190"/>
    </row>
    <row r="400" spans="1:15" x14ac:dyDescent="0.3">
      <c r="A400" s="52" t="s">
        <v>93</v>
      </c>
      <c r="B400" s="52" t="s">
        <v>94</v>
      </c>
      <c r="C400" s="54">
        <v>0</v>
      </c>
      <c r="D400" s="54"/>
      <c r="E400" s="54">
        <f t="shared" si="56"/>
        <v>0</v>
      </c>
      <c r="F400" s="54"/>
      <c r="G400" s="53">
        <f t="shared" si="68"/>
        <v>0</v>
      </c>
      <c r="H400" s="53">
        <v>399278.36</v>
      </c>
      <c r="I400" s="69">
        <f t="shared" si="69"/>
        <v>399278.36</v>
      </c>
      <c r="J400" s="69">
        <v>400000</v>
      </c>
      <c r="K400" s="53">
        <f t="shared" si="70"/>
        <v>416800</v>
      </c>
      <c r="L400" s="176">
        <f t="shared" si="71"/>
        <v>435139.2</v>
      </c>
      <c r="O400" s="190"/>
    </row>
    <row r="401" spans="1:15" x14ac:dyDescent="0.3">
      <c r="A401" s="52" t="s">
        <v>509</v>
      </c>
      <c r="B401" s="52" t="s">
        <v>40</v>
      </c>
      <c r="C401" s="54">
        <v>0</v>
      </c>
      <c r="D401" s="54"/>
      <c r="E401" s="54">
        <f t="shared" si="56"/>
        <v>0</v>
      </c>
      <c r="F401" s="54"/>
      <c r="G401" s="53">
        <f t="shared" si="68"/>
        <v>0</v>
      </c>
      <c r="H401" s="53"/>
      <c r="I401" s="69">
        <f t="shared" si="69"/>
        <v>0</v>
      </c>
      <c r="J401" s="69">
        <v>50000</v>
      </c>
      <c r="K401" s="53">
        <f t="shared" si="70"/>
        <v>52100</v>
      </c>
      <c r="L401" s="176">
        <f t="shared" si="71"/>
        <v>54392.4</v>
      </c>
      <c r="O401" s="190"/>
    </row>
    <row r="402" spans="1:15" x14ac:dyDescent="0.3">
      <c r="A402" s="52" t="s">
        <v>1307</v>
      </c>
      <c r="B402" s="52" t="s">
        <v>1308</v>
      </c>
      <c r="C402" s="54"/>
      <c r="D402" s="54"/>
      <c r="E402" s="54">
        <f t="shared" si="56"/>
        <v>0</v>
      </c>
      <c r="F402" s="54">
        <v>5000000</v>
      </c>
      <c r="G402" s="53">
        <f t="shared" si="68"/>
        <v>5000000</v>
      </c>
      <c r="H402" s="53"/>
      <c r="I402" s="69">
        <f t="shared" si="69"/>
        <v>5000000</v>
      </c>
      <c r="J402" s="69"/>
      <c r="K402" s="53">
        <f t="shared" si="70"/>
        <v>0</v>
      </c>
      <c r="L402" s="176">
        <f t="shared" si="71"/>
        <v>0</v>
      </c>
      <c r="O402" s="190"/>
    </row>
    <row r="403" spans="1:15" x14ac:dyDescent="0.3">
      <c r="A403" s="52"/>
      <c r="B403" s="51" t="s">
        <v>845</v>
      </c>
      <c r="C403" s="54"/>
      <c r="D403" s="54"/>
      <c r="E403" s="54">
        <f t="shared" si="56"/>
        <v>0</v>
      </c>
      <c r="F403" s="54"/>
      <c r="G403" s="53">
        <f t="shared" si="68"/>
        <v>0</v>
      </c>
      <c r="H403" s="53"/>
      <c r="I403" s="69">
        <f t="shared" si="69"/>
        <v>0</v>
      </c>
      <c r="J403" s="69"/>
      <c r="K403" s="53">
        <f t="shared" si="70"/>
        <v>0</v>
      </c>
      <c r="L403" s="176">
        <f t="shared" si="71"/>
        <v>0</v>
      </c>
      <c r="O403" s="190"/>
    </row>
    <row r="404" spans="1:15" x14ac:dyDescent="0.3">
      <c r="A404" s="52" t="s">
        <v>846</v>
      </c>
      <c r="B404" s="52" t="s">
        <v>847</v>
      </c>
      <c r="C404" s="54">
        <v>100000</v>
      </c>
      <c r="D404" s="54"/>
      <c r="E404" s="54">
        <f t="shared" si="56"/>
        <v>100000</v>
      </c>
      <c r="F404" s="54"/>
      <c r="G404" s="53">
        <f t="shared" si="68"/>
        <v>100000</v>
      </c>
      <c r="H404" s="53">
        <v>79000</v>
      </c>
      <c r="I404" s="69">
        <f t="shared" si="69"/>
        <v>179000</v>
      </c>
      <c r="J404" s="69">
        <v>100000</v>
      </c>
      <c r="K404" s="53">
        <f t="shared" si="70"/>
        <v>104200</v>
      </c>
      <c r="L404" s="176">
        <f t="shared" si="71"/>
        <v>108784.8</v>
      </c>
      <c r="O404" s="190"/>
    </row>
    <row r="405" spans="1:15" x14ac:dyDescent="0.3">
      <c r="A405" s="52" t="s">
        <v>848</v>
      </c>
      <c r="B405" s="52" t="s">
        <v>849</v>
      </c>
      <c r="C405" s="54">
        <v>80000</v>
      </c>
      <c r="D405" s="54"/>
      <c r="E405" s="54">
        <f t="shared" si="56"/>
        <v>80000</v>
      </c>
      <c r="F405" s="54"/>
      <c r="G405" s="53">
        <f t="shared" si="68"/>
        <v>80000</v>
      </c>
      <c r="H405" s="53">
        <v>-30000</v>
      </c>
      <c r="I405" s="69">
        <f t="shared" si="69"/>
        <v>50000</v>
      </c>
      <c r="J405" s="69">
        <v>50000</v>
      </c>
      <c r="K405" s="53">
        <f t="shared" si="70"/>
        <v>52100</v>
      </c>
      <c r="L405" s="176">
        <f t="shared" si="71"/>
        <v>54392.4</v>
      </c>
      <c r="O405" s="190"/>
    </row>
    <row r="406" spans="1:15" x14ac:dyDescent="0.3">
      <c r="A406" s="52" t="s">
        <v>850</v>
      </c>
      <c r="B406" s="52" t="s">
        <v>851</v>
      </c>
      <c r="C406" s="54">
        <v>70000</v>
      </c>
      <c r="D406" s="54"/>
      <c r="E406" s="54">
        <f t="shared" si="56"/>
        <v>70000</v>
      </c>
      <c r="F406" s="54"/>
      <c r="G406" s="53">
        <f t="shared" si="68"/>
        <v>70000</v>
      </c>
      <c r="H406" s="53">
        <f>-20000+100000</f>
        <v>80000</v>
      </c>
      <c r="I406" s="69">
        <f t="shared" si="69"/>
        <v>150000</v>
      </c>
      <c r="J406" s="69">
        <v>30000</v>
      </c>
      <c r="K406" s="53">
        <f t="shared" si="70"/>
        <v>31260</v>
      </c>
      <c r="L406" s="176">
        <f t="shared" si="71"/>
        <v>32635.440000000002</v>
      </c>
      <c r="O406" s="190"/>
    </row>
    <row r="407" spans="1:15" x14ac:dyDescent="0.3">
      <c r="A407" s="52" t="s">
        <v>1059</v>
      </c>
      <c r="B407" s="52" t="s">
        <v>1058</v>
      </c>
      <c r="C407" s="54">
        <v>40000</v>
      </c>
      <c r="D407" s="54"/>
      <c r="E407" s="54">
        <f t="shared" si="56"/>
        <v>40000</v>
      </c>
      <c r="F407" s="54"/>
      <c r="G407" s="53">
        <f t="shared" si="68"/>
        <v>40000</v>
      </c>
      <c r="H407" s="53"/>
      <c r="I407" s="69">
        <f t="shared" si="69"/>
        <v>40000</v>
      </c>
      <c r="J407" s="69">
        <v>50000</v>
      </c>
      <c r="K407" s="53">
        <f t="shared" si="70"/>
        <v>52100</v>
      </c>
      <c r="L407" s="176">
        <f t="shared" si="71"/>
        <v>54392.4</v>
      </c>
      <c r="O407" s="190"/>
    </row>
    <row r="408" spans="1:15" x14ac:dyDescent="0.3">
      <c r="A408" s="52"/>
      <c r="B408" s="52"/>
      <c r="C408" s="54"/>
      <c r="D408" s="54"/>
      <c r="E408" s="54">
        <f t="shared" si="56"/>
        <v>0</v>
      </c>
      <c r="F408" s="54"/>
      <c r="G408" s="53">
        <f t="shared" si="68"/>
        <v>0</v>
      </c>
      <c r="H408" s="53"/>
      <c r="I408" s="69">
        <f t="shared" si="69"/>
        <v>0</v>
      </c>
      <c r="J408" s="69">
        <v>0</v>
      </c>
      <c r="K408" s="53">
        <f t="shared" si="70"/>
        <v>0</v>
      </c>
      <c r="L408" s="176">
        <f t="shared" si="71"/>
        <v>0</v>
      </c>
      <c r="O408" s="190"/>
    </row>
    <row r="409" spans="1:15" x14ac:dyDescent="0.3">
      <c r="A409" s="52" t="s">
        <v>1060</v>
      </c>
      <c r="B409" s="52" t="s">
        <v>867</v>
      </c>
      <c r="C409" s="54">
        <v>250000</v>
      </c>
      <c r="D409" s="54"/>
      <c r="E409" s="54">
        <f t="shared" si="56"/>
        <v>250000</v>
      </c>
      <c r="F409" s="54"/>
      <c r="G409" s="53">
        <f t="shared" si="68"/>
        <v>250000</v>
      </c>
      <c r="H409" s="53">
        <v>50000</v>
      </c>
      <c r="I409" s="69">
        <f t="shared" si="69"/>
        <v>300000</v>
      </c>
      <c r="J409" s="69">
        <v>150000</v>
      </c>
      <c r="K409" s="53">
        <f t="shared" si="70"/>
        <v>156300</v>
      </c>
      <c r="L409" s="176">
        <f t="shared" si="71"/>
        <v>163177.20000000001</v>
      </c>
      <c r="O409" s="190"/>
    </row>
    <row r="410" spans="1:15" x14ac:dyDescent="0.3">
      <c r="A410" s="52"/>
      <c r="B410" s="52"/>
      <c r="C410" s="54"/>
      <c r="D410" s="54"/>
      <c r="E410" s="54">
        <f t="shared" si="56"/>
        <v>0</v>
      </c>
      <c r="F410" s="54"/>
      <c r="G410" s="53">
        <f t="shared" si="68"/>
        <v>0</v>
      </c>
      <c r="H410" s="53"/>
      <c r="I410" s="69">
        <f t="shared" si="69"/>
        <v>0</v>
      </c>
      <c r="J410" s="69"/>
      <c r="K410" s="53">
        <f t="shared" si="70"/>
        <v>0</v>
      </c>
      <c r="L410" s="176">
        <f t="shared" si="71"/>
        <v>0</v>
      </c>
      <c r="O410" s="190"/>
    </row>
    <row r="411" spans="1:15" x14ac:dyDescent="0.3">
      <c r="A411" s="52"/>
      <c r="B411" s="51" t="s">
        <v>852</v>
      </c>
      <c r="C411" s="54"/>
      <c r="D411" s="54"/>
      <c r="E411" s="54">
        <f t="shared" si="56"/>
        <v>0</v>
      </c>
      <c r="F411" s="54"/>
      <c r="G411" s="53">
        <f t="shared" si="68"/>
        <v>0</v>
      </c>
      <c r="H411" s="53"/>
      <c r="I411" s="69">
        <f t="shared" si="69"/>
        <v>0</v>
      </c>
      <c r="J411" s="69"/>
      <c r="K411" s="53">
        <f t="shared" si="70"/>
        <v>0</v>
      </c>
      <c r="L411" s="176">
        <f t="shared" si="71"/>
        <v>0</v>
      </c>
      <c r="O411" s="190"/>
    </row>
    <row r="412" spans="1:15" x14ac:dyDescent="0.3">
      <c r="A412" s="52" t="s">
        <v>853</v>
      </c>
      <c r="B412" s="52" t="s">
        <v>854</v>
      </c>
      <c r="C412" s="54">
        <v>650000</v>
      </c>
      <c r="D412" s="54"/>
      <c r="E412" s="54">
        <f t="shared" si="56"/>
        <v>650000</v>
      </c>
      <c r="F412" s="54"/>
      <c r="G412" s="53">
        <f t="shared" si="68"/>
        <v>650000</v>
      </c>
      <c r="H412" s="53">
        <f>243685.86-43685.86</f>
        <v>200000</v>
      </c>
      <c r="I412" s="69">
        <f t="shared" si="69"/>
        <v>850000</v>
      </c>
      <c r="J412" s="69">
        <v>500000</v>
      </c>
      <c r="K412" s="53">
        <f t="shared" si="70"/>
        <v>521000</v>
      </c>
      <c r="L412" s="176">
        <f t="shared" si="71"/>
        <v>543924</v>
      </c>
      <c r="O412" s="190"/>
    </row>
    <row r="413" spans="1:15" x14ac:dyDescent="0.3">
      <c r="A413" s="52" t="s">
        <v>855</v>
      </c>
      <c r="B413" s="52" t="s">
        <v>856</v>
      </c>
      <c r="C413" s="54">
        <v>400000</v>
      </c>
      <c r="D413" s="54"/>
      <c r="E413" s="54">
        <f t="shared" si="56"/>
        <v>400000</v>
      </c>
      <c r="F413" s="54"/>
      <c r="G413" s="53">
        <f t="shared" si="68"/>
        <v>400000</v>
      </c>
      <c r="H413" s="53"/>
      <c r="I413" s="69">
        <f t="shared" si="69"/>
        <v>400000</v>
      </c>
      <c r="J413" s="69">
        <v>300000</v>
      </c>
      <c r="K413" s="53">
        <f t="shared" si="70"/>
        <v>312600</v>
      </c>
      <c r="L413" s="176">
        <f t="shared" si="71"/>
        <v>326354.40000000002</v>
      </c>
      <c r="O413" s="190"/>
    </row>
    <row r="414" spans="1:15" x14ac:dyDescent="0.3">
      <c r="A414" s="52" t="s">
        <v>857</v>
      </c>
      <c r="B414" s="52" t="s">
        <v>858</v>
      </c>
      <c r="C414" s="54">
        <v>500000</v>
      </c>
      <c r="D414" s="54"/>
      <c r="E414" s="54">
        <f t="shared" si="56"/>
        <v>500000</v>
      </c>
      <c r="F414" s="54"/>
      <c r="G414" s="53">
        <f t="shared" si="68"/>
        <v>500000</v>
      </c>
      <c r="H414" s="53">
        <f>((-50000+200000+200000)--1068002)--1509276.99000001</f>
        <v>2927278.99000001</v>
      </c>
      <c r="I414" s="69">
        <f t="shared" si="69"/>
        <v>3427278.99000001</v>
      </c>
      <c r="J414" s="69">
        <v>1000000</v>
      </c>
      <c r="K414" s="53">
        <f t="shared" si="70"/>
        <v>1042000</v>
      </c>
      <c r="L414" s="176">
        <f t="shared" si="71"/>
        <v>1087848</v>
      </c>
      <c r="O414" s="190"/>
    </row>
    <row r="415" spans="1:15" x14ac:dyDescent="0.3">
      <c r="A415" s="52" t="s">
        <v>859</v>
      </c>
      <c r="B415" s="52" t="s">
        <v>860</v>
      </c>
      <c r="C415" s="54">
        <v>30000</v>
      </c>
      <c r="D415" s="54"/>
      <c r="E415" s="54">
        <f t="shared" si="56"/>
        <v>30000</v>
      </c>
      <c r="F415" s="54"/>
      <c r="G415" s="53">
        <f t="shared" si="68"/>
        <v>30000</v>
      </c>
      <c r="H415" s="53">
        <v>-10000</v>
      </c>
      <c r="I415" s="69">
        <f t="shared" si="69"/>
        <v>20000</v>
      </c>
      <c r="J415" s="69">
        <v>30000</v>
      </c>
      <c r="K415" s="53">
        <f t="shared" si="70"/>
        <v>31260</v>
      </c>
      <c r="L415" s="176">
        <f t="shared" si="71"/>
        <v>32635.440000000002</v>
      </c>
      <c r="O415" s="190"/>
    </row>
    <row r="416" spans="1:15" x14ac:dyDescent="0.3">
      <c r="A416" s="52" t="s">
        <v>1305</v>
      </c>
      <c r="B416" s="52" t="s">
        <v>1306</v>
      </c>
      <c r="C416" s="54"/>
      <c r="D416" s="54"/>
      <c r="E416" s="54"/>
      <c r="F416" s="54">
        <v>1000000</v>
      </c>
      <c r="G416" s="53">
        <f t="shared" si="68"/>
        <v>1000000</v>
      </c>
      <c r="H416" s="53"/>
      <c r="I416" s="69">
        <f t="shared" si="69"/>
        <v>1000000</v>
      </c>
      <c r="J416" s="69"/>
      <c r="K416" s="53">
        <f t="shared" si="70"/>
        <v>0</v>
      </c>
      <c r="L416" s="176">
        <f t="shared" si="71"/>
        <v>0</v>
      </c>
      <c r="O416" s="190"/>
    </row>
    <row r="417" spans="1:15" x14ac:dyDescent="0.3">
      <c r="A417" s="52"/>
      <c r="B417" s="52"/>
      <c r="C417" s="54"/>
      <c r="D417" s="54"/>
      <c r="E417" s="54"/>
      <c r="F417" s="54"/>
      <c r="G417" s="53"/>
      <c r="H417" s="53"/>
      <c r="I417" s="69">
        <f t="shared" si="69"/>
        <v>0</v>
      </c>
      <c r="J417" s="69"/>
      <c r="K417" s="53">
        <f t="shared" si="70"/>
        <v>0</v>
      </c>
      <c r="L417" s="176">
        <f t="shared" si="71"/>
        <v>0</v>
      </c>
      <c r="O417" s="190"/>
    </row>
    <row r="418" spans="1:15" x14ac:dyDescent="0.3">
      <c r="A418" s="52" t="s">
        <v>1524</v>
      </c>
      <c r="B418" s="52" t="s">
        <v>1443</v>
      </c>
      <c r="C418" s="54"/>
      <c r="D418" s="54"/>
      <c r="E418" s="54"/>
      <c r="F418" s="54"/>
      <c r="G418" s="53"/>
      <c r="H418" s="53"/>
      <c r="I418" s="69">
        <f t="shared" si="69"/>
        <v>0</v>
      </c>
      <c r="J418" s="69">
        <v>150000</v>
      </c>
      <c r="K418" s="53">
        <f t="shared" si="70"/>
        <v>156300</v>
      </c>
      <c r="L418" s="176">
        <f t="shared" si="71"/>
        <v>163177.20000000001</v>
      </c>
      <c r="O418" s="190"/>
    </row>
    <row r="419" spans="1:15" x14ac:dyDescent="0.3">
      <c r="A419" s="52"/>
      <c r="B419" s="52"/>
      <c r="C419" s="54">
        <v>0</v>
      </c>
      <c r="D419" s="54"/>
      <c r="E419" s="54">
        <f t="shared" si="56"/>
        <v>0</v>
      </c>
      <c r="F419" s="54"/>
      <c r="G419" s="53">
        <f t="shared" si="68"/>
        <v>0</v>
      </c>
      <c r="H419" s="53"/>
      <c r="I419" s="69">
        <f t="shared" si="69"/>
        <v>0</v>
      </c>
      <c r="J419" s="69"/>
      <c r="K419" s="53">
        <f t="shared" si="70"/>
        <v>0</v>
      </c>
      <c r="L419" s="176">
        <f t="shared" si="71"/>
        <v>0</v>
      </c>
      <c r="O419" s="190"/>
    </row>
    <row r="420" spans="1:15" x14ac:dyDescent="0.3">
      <c r="A420" s="52" t="s">
        <v>1239</v>
      </c>
      <c r="B420" s="52" t="s">
        <v>1227</v>
      </c>
      <c r="C420" s="54"/>
      <c r="D420" s="54">
        <v>500000</v>
      </c>
      <c r="E420" s="54">
        <f t="shared" si="56"/>
        <v>500000</v>
      </c>
      <c r="F420" s="54"/>
      <c r="G420" s="53">
        <f t="shared" si="68"/>
        <v>500000</v>
      </c>
      <c r="H420" s="53"/>
      <c r="I420" s="69">
        <f t="shared" si="69"/>
        <v>500000</v>
      </c>
      <c r="J420" s="69"/>
      <c r="K420" s="53">
        <f t="shared" si="70"/>
        <v>0</v>
      </c>
      <c r="L420" s="176">
        <f t="shared" si="71"/>
        <v>0</v>
      </c>
      <c r="O420" s="190"/>
    </row>
    <row r="421" spans="1:15" x14ac:dyDescent="0.3">
      <c r="A421" s="52" t="s">
        <v>439</v>
      </c>
      <c r="B421" s="52" t="s">
        <v>429</v>
      </c>
      <c r="C421" s="54">
        <v>45000</v>
      </c>
      <c r="D421" s="54"/>
      <c r="E421" s="54">
        <f t="shared" si="56"/>
        <v>45000</v>
      </c>
      <c r="F421" s="54"/>
      <c r="G421" s="53">
        <f t="shared" si="68"/>
        <v>45000</v>
      </c>
      <c r="H421" s="53"/>
      <c r="I421" s="69">
        <f t="shared" si="69"/>
        <v>45000</v>
      </c>
      <c r="J421" s="69">
        <v>45000</v>
      </c>
      <c r="K421" s="53">
        <f t="shared" si="70"/>
        <v>46890</v>
      </c>
      <c r="L421" s="176">
        <f t="shared" si="71"/>
        <v>48953.16</v>
      </c>
      <c r="O421" s="190"/>
    </row>
    <row r="422" spans="1:15" x14ac:dyDescent="0.3">
      <c r="A422" s="52" t="s">
        <v>105</v>
      </c>
      <c r="B422" s="52" t="s">
        <v>106</v>
      </c>
      <c r="C422" s="54">
        <v>88652.176975000024</v>
      </c>
      <c r="D422" s="54"/>
      <c r="E422" s="54">
        <f t="shared" si="56"/>
        <v>88652.176975000024</v>
      </c>
      <c r="F422" s="54"/>
      <c r="G422" s="53">
        <f t="shared" si="68"/>
        <v>88652.176975000024</v>
      </c>
      <c r="H422" s="53">
        <v>4387.55796250001</v>
      </c>
      <c r="I422" s="69">
        <f t="shared" si="69"/>
        <v>93039.734937500034</v>
      </c>
      <c r="J422" s="69">
        <v>100731.97331920007</v>
      </c>
      <c r="K422" s="53">
        <f t="shared" si="70"/>
        <v>104962.71619860647</v>
      </c>
      <c r="L422" s="176">
        <f t="shared" si="71"/>
        <v>109581.07571134517</v>
      </c>
      <c r="O422" s="190"/>
    </row>
    <row r="423" spans="1:15" ht="14.5" thickBot="1" x14ac:dyDescent="0.35">
      <c r="A423" s="56"/>
      <c r="B423" s="56"/>
      <c r="C423" s="68">
        <v>0</v>
      </c>
      <c r="D423" s="68"/>
      <c r="E423" s="54">
        <f t="shared" si="56"/>
        <v>0</v>
      </c>
      <c r="F423" s="54"/>
      <c r="G423" s="54"/>
      <c r="H423" s="54"/>
      <c r="I423" s="54"/>
      <c r="J423" s="69"/>
      <c r="K423" s="53"/>
      <c r="L423" s="176"/>
      <c r="O423" s="190"/>
    </row>
    <row r="424" spans="1:15" ht="14.5" thickBot="1" x14ac:dyDescent="0.35">
      <c r="A424" s="57" t="s">
        <v>674</v>
      </c>
      <c r="B424" s="57"/>
      <c r="C424" s="92">
        <f>SUM(C393:C423)</f>
        <v>2253652.1769750002</v>
      </c>
      <c r="D424" s="92">
        <f t="shared" ref="D424:L424" si="72">SUM(D393:D423)</f>
        <v>500000</v>
      </c>
      <c r="E424" s="92">
        <f t="shared" si="72"/>
        <v>2753652.1769750002</v>
      </c>
      <c r="F424" s="92">
        <f t="shared" si="72"/>
        <v>6000000</v>
      </c>
      <c r="G424" s="92">
        <f t="shared" si="72"/>
        <v>8753652.1769750006</v>
      </c>
      <c r="H424" s="92">
        <f t="shared" si="72"/>
        <v>3729354.2479625097</v>
      </c>
      <c r="I424" s="92">
        <f t="shared" si="72"/>
        <v>12483006.424937511</v>
      </c>
      <c r="J424" s="92">
        <f>SUM(J393:J423)</f>
        <v>3075731.9733191999</v>
      </c>
      <c r="K424" s="92">
        <f t="shared" si="72"/>
        <v>3204912.7161986064</v>
      </c>
      <c r="L424" s="92">
        <f t="shared" si="72"/>
        <v>3345928.8757113456</v>
      </c>
      <c r="M424" s="191"/>
      <c r="N424" s="192"/>
      <c r="O424" s="192"/>
    </row>
    <row r="425" spans="1:15" ht="14.5" thickTop="1" x14ac:dyDescent="0.3">
      <c r="A425" s="74"/>
      <c r="B425" s="74"/>
      <c r="C425" s="91"/>
      <c r="D425" s="91"/>
      <c r="E425" s="229">
        <f t="shared" si="56"/>
        <v>0</v>
      </c>
      <c r="F425" s="229"/>
      <c r="G425" s="229"/>
      <c r="H425" s="229"/>
      <c r="I425" s="229"/>
      <c r="J425" s="228"/>
      <c r="K425" s="91"/>
      <c r="L425" s="191"/>
    </row>
    <row r="426" spans="1:15" x14ac:dyDescent="0.3">
      <c r="A426" s="51" t="s">
        <v>77</v>
      </c>
      <c r="B426" s="52"/>
      <c r="C426" s="53"/>
      <c r="D426" s="53"/>
      <c r="E426" s="115">
        <f t="shared" si="56"/>
        <v>0</v>
      </c>
      <c r="F426" s="115"/>
      <c r="G426" s="115"/>
      <c r="H426" s="115"/>
      <c r="I426" s="115"/>
      <c r="J426" s="115"/>
      <c r="K426" s="53"/>
      <c r="L426" s="176"/>
    </row>
    <row r="427" spans="1:15" x14ac:dyDescent="0.3">
      <c r="A427" s="52" t="s">
        <v>116</v>
      </c>
      <c r="B427" s="52" t="s">
        <v>55</v>
      </c>
      <c r="C427" s="54">
        <v>7283006.7075000023</v>
      </c>
      <c r="D427" s="54"/>
      <c r="E427" s="54">
        <f t="shared" si="56"/>
        <v>7283006.7075000023</v>
      </c>
      <c r="F427" s="54"/>
      <c r="G427" s="53">
        <f t="shared" ref="G427:G442" si="73">E427+F427</f>
        <v>7283006.7075000023</v>
      </c>
      <c r="H427" s="53">
        <v>420304.33249999769</v>
      </c>
      <c r="I427" s="69">
        <f t="shared" ref="I427:I442" si="74">G427+H427</f>
        <v>7703311.04</v>
      </c>
      <c r="J427" s="54">
        <v>8881468.0328320004</v>
      </c>
      <c r="K427" s="53">
        <f t="shared" ref="K427:K442" si="75">J427*104.2%</f>
        <v>9254489.690210944</v>
      </c>
      <c r="L427" s="176">
        <f t="shared" ref="L427:L442" si="76">K427*104.4%</f>
        <v>9661687.2365802266</v>
      </c>
      <c r="O427" s="190"/>
    </row>
    <row r="428" spans="1:15" x14ac:dyDescent="0.3">
      <c r="A428" s="52" t="s">
        <v>117</v>
      </c>
      <c r="B428" s="52" t="s">
        <v>56</v>
      </c>
      <c r="C428" s="54">
        <v>316022.21770833334</v>
      </c>
      <c r="D428" s="54"/>
      <c r="E428" s="54">
        <f t="shared" si="56"/>
        <v>316022.21770833334</v>
      </c>
      <c r="F428" s="54"/>
      <c r="G428" s="53">
        <f t="shared" si="73"/>
        <v>316022.21770833334</v>
      </c>
      <c r="H428" s="53">
        <v>28340.712291666656</v>
      </c>
      <c r="I428" s="69">
        <f t="shared" si="74"/>
        <v>344362.93</v>
      </c>
      <c r="J428" s="69">
        <v>795289.03966933349</v>
      </c>
      <c r="K428" s="53">
        <f t="shared" si="75"/>
        <v>828691.17933544551</v>
      </c>
      <c r="L428" s="176">
        <f t="shared" si="76"/>
        <v>865153.59122620511</v>
      </c>
      <c r="O428" s="190"/>
    </row>
    <row r="429" spans="1:15" x14ac:dyDescent="0.3">
      <c r="A429" s="52" t="s">
        <v>118</v>
      </c>
      <c r="B429" s="52" t="s">
        <v>57</v>
      </c>
      <c r="C429" s="54">
        <v>3019.6800000000007</v>
      </c>
      <c r="D429" s="54"/>
      <c r="E429" s="54">
        <f t="shared" si="56"/>
        <v>3019.6800000000007</v>
      </c>
      <c r="F429" s="54"/>
      <c r="G429" s="53">
        <f t="shared" si="73"/>
        <v>3019.6800000000007</v>
      </c>
      <c r="H429" s="53">
        <v>0</v>
      </c>
      <c r="I429" s="69">
        <f t="shared" si="74"/>
        <v>3019.6800000000007</v>
      </c>
      <c r="J429" s="69">
        <v>3243.360000000001</v>
      </c>
      <c r="K429" s="53">
        <f t="shared" si="75"/>
        <v>3379.5811200000012</v>
      </c>
      <c r="L429" s="176">
        <f t="shared" si="76"/>
        <v>3528.2826892800013</v>
      </c>
      <c r="O429" s="190"/>
    </row>
    <row r="430" spans="1:15" x14ac:dyDescent="0.3">
      <c r="A430" s="52" t="s">
        <v>119</v>
      </c>
      <c r="B430" s="52" t="s">
        <v>58</v>
      </c>
      <c r="C430" s="54">
        <v>273781.59999999998</v>
      </c>
      <c r="D430" s="54"/>
      <c r="E430" s="54">
        <f t="shared" ref="E430:E448" si="77">C430+D430</f>
        <v>273781.59999999998</v>
      </c>
      <c r="F430" s="54"/>
      <c r="G430" s="53">
        <f t="shared" si="73"/>
        <v>273781.59999999998</v>
      </c>
      <c r="H430" s="53">
        <v>111404</v>
      </c>
      <c r="I430" s="69">
        <f t="shared" si="74"/>
        <v>385185.6</v>
      </c>
      <c r="J430" s="69">
        <v>385185.60000000009</v>
      </c>
      <c r="K430" s="53">
        <f t="shared" si="75"/>
        <v>401363.39520000009</v>
      </c>
      <c r="L430" s="176">
        <f t="shared" si="76"/>
        <v>419023.38458880008</v>
      </c>
      <c r="O430" s="190"/>
    </row>
    <row r="431" spans="1:15" x14ac:dyDescent="0.3">
      <c r="A431" s="52" t="s">
        <v>120</v>
      </c>
      <c r="B431" s="52" t="s">
        <v>121</v>
      </c>
      <c r="C431" s="54">
        <v>780488.63233125</v>
      </c>
      <c r="D431" s="54"/>
      <c r="E431" s="54">
        <f t="shared" si="77"/>
        <v>780488.63233125</v>
      </c>
      <c r="F431" s="54"/>
      <c r="G431" s="53">
        <f t="shared" si="73"/>
        <v>780488.63233125</v>
      </c>
      <c r="H431" s="53">
        <v>311554.49465625011</v>
      </c>
      <c r="I431" s="69">
        <f t="shared" si="74"/>
        <v>1092043.1269875001</v>
      </c>
      <c r="J431" s="69">
        <v>1245605.20107819</v>
      </c>
      <c r="K431" s="53">
        <f t="shared" si="75"/>
        <v>1297920.619523474</v>
      </c>
      <c r="L431" s="176">
        <f t="shared" si="76"/>
        <v>1355029.1267825069</v>
      </c>
      <c r="O431" s="190"/>
    </row>
    <row r="432" spans="1:15" x14ac:dyDescent="0.3">
      <c r="A432" s="52" t="s">
        <v>122</v>
      </c>
      <c r="B432" s="52" t="s">
        <v>59</v>
      </c>
      <c r="C432" s="54">
        <v>45215.999999999993</v>
      </c>
      <c r="D432" s="54"/>
      <c r="E432" s="54">
        <f t="shared" si="77"/>
        <v>45215.999999999993</v>
      </c>
      <c r="F432" s="54"/>
      <c r="G432" s="53">
        <f t="shared" si="73"/>
        <v>45215.999999999993</v>
      </c>
      <c r="H432" s="53">
        <v>3569.2799999999988</v>
      </c>
      <c r="I432" s="69">
        <f t="shared" si="74"/>
        <v>48785.279999999992</v>
      </c>
      <c r="J432" s="69">
        <v>48821.279999999992</v>
      </c>
      <c r="K432" s="53">
        <f t="shared" si="75"/>
        <v>50871.773759999996</v>
      </c>
      <c r="L432" s="176">
        <f t="shared" si="76"/>
        <v>53110.131805439996</v>
      </c>
      <c r="O432" s="190"/>
    </row>
    <row r="433" spans="1:17" x14ac:dyDescent="0.3">
      <c r="A433" s="52" t="s">
        <v>592</v>
      </c>
      <c r="B433" s="52" t="s">
        <v>590</v>
      </c>
      <c r="C433" s="54">
        <v>50000</v>
      </c>
      <c r="D433" s="54"/>
      <c r="E433" s="54">
        <f t="shared" si="77"/>
        <v>50000</v>
      </c>
      <c r="F433" s="54"/>
      <c r="G433" s="53">
        <f t="shared" si="73"/>
        <v>50000</v>
      </c>
      <c r="H433" s="53">
        <v>-50000</v>
      </c>
      <c r="I433" s="69">
        <f t="shared" si="74"/>
        <v>0</v>
      </c>
      <c r="J433" s="69"/>
      <c r="K433" s="53">
        <f t="shared" si="75"/>
        <v>0</v>
      </c>
      <c r="L433" s="176">
        <f t="shared" si="76"/>
        <v>0</v>
      </c>
      <c r="O433" s="190"/>
    </row>
    <row r="434" spans="1:17" x14ac:dyDescent="0.3">
      <c r="A434" s="52" t="s">
        <v>123</v>
      </c>
      <c r="B434" s="52" t="s">
        <v>124</v>
      </c>
      <c r="C434" s="54">
        <v>544433.79749999999</v>
      </c>
      <c r="D434" s="54"/>
      <c r="E434" s="54">
        <f t="shared" si="77"/>
        <v>544433.79749999999</v>
      </c>
      <c r="F434" s="54"/>
      <c r="G434" s="53">
        <f t="shared" si="73"/>
        <v>544433.79749999999</v>
      </c>
      <c r="H434" s="53">
        <v>49433.8125</v>
      </c>
      <c r="I434" s="69">
        <f t="shared" si="74"/>
        <v>593867.61</v>
      </c>
      <c r="J434" s="69">
        <v>707811.91465799999</v>
      </c>
      <c r="K434" s="53">
        <f t="shared" si="75"/>
        <v>737540.01507363596</v>
      </c>
      <c r="L434" s="176">
        <f t="shared" si="76"/>
        <v>769991.77573687595</v>
      </c>
      <c r="O434" s="190"/>
    </row>
    <row r="435" spans="1:17" x14ac:dyDescent="0.3">
      <c r="A435" s="52" t="s">
        <v>125</v>
      </c>
      <c r="B435" s="52" t="s">
        <v>60</v>
      </c>
      <c r="C435" s="54">
        <v>10893.24</v>
      </c>
      <c r="D435" s="54"/>
      <c r="E435" s="54">
        <f t="shared" si="77"/>
        <v>10893.24</v>
      </c>
      <c r="F435" s="54"/>
      <c r="G435" s="53">
        <f t="shared" si="73"/>
        <v>10893.24</v>
      </c>
      <c r="H435" s="53">
        <v>22479</v>
      </c>
      <c r="I435" s="69">
        <f t="shared" si="74"/>
        <v>33372.239999999998</v>
      </c>
      <c r="J435" s="69">
        <v>35374.574400000005</v>
      </c>
      <c r="K435" s="53">
        <f t="shared" si="75"/>
        <v>36860.306524800006</v>
      </c>
      <c r="L435" s="176">
        <f t="shared" si="76"/>
        <v>38482.16001189121</v>
      </c>
      <c r="O435" s="190"/>
    </row>
    <row r="436" spans="1:17" x14ac:dyDescent="0.3">
      <c r="A436" s="52" t="s">
        <v>126</v>
      </c>
      <c r="B436" s="52" t="s">
        <v>61</v>
      </c>
      <c r="C436" s="54">
        <v>15000</v>
      </c>
      <c r="D436" s="54"/>
      <c r="E436" s="54">
        <f t="shared" si="77"/>
        <v>15000</v>
      </c>
      <c r="F436" s="54"/>
      <c r="G436" s="53">
        <f t="shared" si="73"/>
        <v>15000</v>
      </c>
      <c r="H436" s="53">
        <v>0</v>
      </c>
      <c r="I436" s="69">
        <f t="shared" si="74"/>
        <v>15000</v>
      </c>
      <c r="J436" s="69">
        <v>70000</v>
      </c>
      <c r="K436" s="53">
        <f t="shared" si="75"/>
        <v>72940</v>
      </c>
      <c r="L436" s="176">
        <f t="shared" si="76"/>
        <v>76149.36</v>
      </c>
      <c r="O436" s="190"/>
    </row>
    <row r="437" spans="1:17" x14ac:dyDescent="0.3">
      <c r="A437" s="52" t="s">
        <v>127</v>
      </c>
      <c r="B437" s="52" t="s">
        <v>659</v>
      </c>
      <c r="C437" s="54">
        <v>561000</v>
      </c>
      <c r="D437" s="54"/>
      <c r="E437" s="54">
        <f t="shared" si="77"/>
        <v>561000</v>
      </c>
      <c r="F437" s="54"/>
      <c r="G437" s="53">
        <f t="shared" si="73"/>
        <v>561000</v>
      </c>
      <c r="H437" s="53">
        <v>0</v>
      </c>
      <c r="I437" s="69">
        <f t="shared" si="74"/>
        <v>561000</v>
      </c>
      <c r="J437" s="69">
        <v>561000</v>
      </c>
      <c r="K437" s="53">
        <f t="shared" si="75"/>
        <v>584562</v>
      </c>
      <c r="L437" s="176">
        <f t="shared" si="76"/>
        <v>610282.728</v>
      </c>
      <c r="O437" s="190"/>
    </row>
    <row r="438" spans="1:17" x14ac:dyDescent="0.3">
      <c r="A438" s="52" t="s">
        <v>128</v>
      </c>
      <c r="B438" s="52" t="s">
        <v>62</v>
      </c>
      <c r="C438" s="54">
        <v>75000</v>
      </c>
      <c r="D438" s="54"/>
      <c r="E438" s="54">
        <f t="shared" si="77"/>
        <v>75000</v>
      </c>
      <c r="F438" s="54"/>
      <c r="G438" s="53">
        <f t="shared" si="73"/>
        <v>75000</v>
      </c>
      <c r="H438" s="53">
        <v>25000</v>
      </c>
      <c r="I438" s="69">
        <f t="shared" si="74"/>
        <v>100000</v>
      </c>
      <c r="J438" s="69">
        <v>100000</v>
      </c>
      <c r="K438" s="53">
        <f t="shared" si="75"/>
        <v>104200</v>
      </c>
      <c r="L438" s="176">
        <f t="shared" si="76"/>
        <v>108784.8</v>
      </c>
      <c r="O438" s="190"/>
    </row>
    <row r="439" spans="1:17" x14ac:dyDescent="0.3">
      <c r="A439" s="52" t="s">
        <v>665</v>
      </c>
      <c r="B439" s="52" t="s">
        <v>129</v>
      </c>
      <c r="C439" s="54">
        <v>742387.65120000008</v>
      </c>
      <c r="D439" s="54"/>
      <c r="E439" s="54">
        <f t="shared" si="77"/>
        <v>742387.65120000008</v>
      </c>
      <c r="F439" s="54"/>
      <c r="G439" s="53">
        <f t="shared" si="73"/>
        <v>742387.65120000008</v>
      </c>
      <c r="H439" s="53">
        <v>2141.0687999998918</v>
      </c>
      <c r="I439" s="69">
        <f t="shared" si="74"/>
        <v>744528.72</v>
      </c>
      <c r="J439" s="69">
        <v>789200.44319999998</v>
      </c>
      <c r="K439" s="53">
        <f t="shared" si="75"/>
        <v>822346.86181440006</v>
      </c>
      <c r="L439" s="176">
        <f t="shared" si="76"/>
        <v>858530.12373423367</v>
      </c>
      <c r="O439" s="190"/>
    </row>
    <row r="440" spans="1:17" x14ac:dyDescent="0.3">
      <c r="A440" s="52" t="s">
        <v>130</v>
      </c>
      <c r="B440" s="52" t="s">
        <v>131</v>
      </c>
      <c r="C440" s="54">
        <v>150000</v>
      </c>
      <c r="D440" s="54"/>
      <c r="E440" s="54">
        <f t="shared" si="77"/>
        <v>150000</v>
      </c>
      <c r="F440" s="54"/>
      <c r="G440" s="53">
        <f t="shared" si="73"/>
        <v>150000</v>
      </c>
      <c r="H440" s="53">
        <v>-150000</v>
      </c>
      <c r="I440" s="69">
        <f t="shared" si="74"/>
        <v>0</v>
      </c>
      <c r="J440" s="69"/>
      <c r="K440" s="53">
        <f t="shared" si="75"/>
        <v>0</v>
      </c>
      <c r="L440" s="176">
        <f t="shared" si="76"/>
        <v>0</v>
      </c>
      <c r="O440" s="190"/>
    </row>
    <row r="441" spans="1:17" x14ac:dyDescent="0.3">
      <c r="A441" s="52" t="s">
        <v>132</v>
      </c>
      <c r="B441" s="52" t="s">
        <v>133</v>
      </c>
      <c r="C441" s="54">
        <v>1784.6399999999999</v>
      </c>
      <c r="D441" s="54"/>
      <c r="E441" s="54">
        <f t="shared" si="77"/>
        <v>1784.6399999999999</v>
      </c>
      <c r="F441" s="54"/>
      <c r="G441" s="53">
        <f t="shared" si="73"/>
        <v>1784.6399999999999</v>
      </c>
      <c r="H441" s="53">
        <v>0</v>
      </c>
      <c r="I441" s="69">
        <f t="shared" si="74"/>
        <v>1784.6399999999999</v>
      </c>
      <c r="J441" s="69">
        <v>1784.6399999999999</v>
      </c>
      <c r="K441" s="53">
        <f t="shared" si="75"/>
        <v>1859.5948799999999</v>
      </c>
      <c r="L441" s="176">
        <f t="shared" si="76"/>
        <v>1941.4170547199999</v>
      </c>
      <c r="O441" s="190"/>
    </row>
    <row r="442" spans="1:17" ht="14.5" thickBot="1" x14ac:dyDescent="0.35">
      <c r="A442" s="56" t="s">
        <v>134</v>
      </c>
      <c r="B442" s="56" t="s">
        <v>135</v>
      </c>
      <c r="C442" s="54">
        <v>237944.76</v>
      </c>
      <c r="D442" s="54"/>
      <c r="E442" s="54">
        <f t="shared" si="77"/>
        <v>237944.76</v>
      </c>
      <c r="F442" s="54"/>
      <c r="G442" s="53">
        <f t="shared" si="73"/>
        <v>237944.76</v>
      </c>
      <c r="H442" s="53">
        <v>10231.440000000002</v>
      </c>
      <c r="I442" s="69">
        <f t="shared" si="74"/>
        <v>248176.2</v>
      </c>
      <c r="J442" s="69">
        <v>263066.772</v>
      </c>
      <c r="K442" s="53">
        <f t="shared" si="75"/>
        <v>274115.57642400003</v>
      </c>
      <c r="L442" s="176">
        <f t="shared" si="76"/>
        <v>286176.66178665601</v>
      </c>
      <c r="O442" s="190"/>
    </row>
    <row r="443" spans="1:17" ht="14.5" thickBot="1" x14ac:dyDescent="0.35">
      <c r="A443" s="57" t="s">
        <v>137</v>
      </c>
      <c r="B443" s="58"/>
      <c r="C443" s="59">
        <f t="shared" ref="C443:L443" si="78">SUM(C427:C442)</f>
        <v>11089978.926239586</v>
      </c>
      <c r="D443" s="59">
        <f t="shared" si="78"/>
        <v>0</v>
      </c>
      <c r="E443" s="59">
        <f t="shared" si="78"/>
        <v>11089978.926239586</v>
      </c>
      <c r="F443" s="59">
        <f t="shared" si="78"/>
        <v>0</v>
      </c>
      <c r="G443" s="59">
        <f t="shared" si="78"/>
        <v>11089978.926239586</v>
      </c>
      <c r="H443" s="59">
        <f t="shared" si="78"/>
        <v>784458.14074791432</v>
      </c>
      <c r="I443" s="59">
        <f t="shared" si="78"/>
        <v>11874437.0669875</v>
      </c>
      <c r="J443" s="59">
        <f>SUM(J427:J442)</f>
        <v>13887850.857837522</v>
      </c>
      <c r="K443" s="59">
        <f t="shared" si="78"/>
        <v>14471140.5938667</v>
      </c>
      <c r="L443" s="59">
        <f t="shared" si="78"/>
        <v>15107870.779996838</v>
      </c>
      <c r="M443" s="180"/>
      <c r="N443" s="193"/>
      <c r="O443" s="193"/>
    </row>
    <row r="444" spans="1:17" ht="15" thickTop="1" thickBot="1" x14ac:dyDescent="0.35">
      <c r="A444" s="165"/>
      <c r="B444" s="165"/>
      <c r="C444" s="94"/>
      <c r="D444" s="94"/>
      <c r="E444" s="68">
        <f t="shared" si="77"/>
        <v>0</v>
      </c>
      <c r="F444" s="68"/>
      <c r="G444" s="68"/>
      <c r="H444" s="68"/>
      <c r="I444" s="68"/>
      <c r="J444" s="59"/>
      <c r="K444" s="94"/>
      <c r="L444" s="199"/>
    </row>
    <row r="445" spans="1:17" s="168" customFormat="1" ht="15" thickTop="1" thickBot="1" x14ac:dyDescent="0.35">
      <c r="A445" s="75" t="s">
        <v>696</v>
      </c>
      <c r="B445" s="75"/>
      <c r="C445" s="100">
        <f>C443+C424</f>
        <v>13343631.103214586</v>
      </c>
      <c r="D445" s="100">
        <f t="shared" ref="D445:L446" si="79">D443+D424</f>
        <v>500000</v>
      </c>
      <c r="E445" s="100">
        <f t="shared" si="79"/>
        <v>13843631.103214586</v>
      </c>
      <c r="F445" s="100">
        <f t="shared" si="79"/>
        <v>6000000</v>
      </c>
      <c r="G445" s="100">
        <f t="shared" si="79"/>
        <v>19843631.103214584</v>
      </c>
      <c r="H445" s="100">
        <f t="shared" si="79"/>
        <v>4513812.3887104243</v>
      </c>
      <c r="I445" s="100">
        <f t="shared" si="79"/>
        <v>24357443.491925009</v>
      </c>
      <c r="J445" s="100">
        <f>J443+J424</f>
        <v>16963582.831156723</v>
      </c>
      <c r="K445" s="100">
        <f t="shared" si="79"/>
        <v>17676053.310065307</v>
      </c>
      <c r="L445" s="100">
        <f t="shared" si="79"/>
        <v>18453799.655708183</v>
      </c>
      <c r="M445" s="180"/>
      <c r="N445" s="193"/>
      <c r="O445" s="193"/>
      <c r="P445" s="204"/>
      <c r="Q445" s="170"/>
    </row>
    <row r="446" spans="1:17" s="168" customFormat="1" ht="14.5" thickBot="1" x14ac:dyDescent="0.35">
      <c r="A446" s="74"/>
      <c r="B446" s="74"/>
      <c r="C446" s="80"/>
      <c r="D446" s="80"/>
      <c r="E446" s="68">
        <f t="shared" si="77"/>
        <v>0</v>
      </c>
      <c r="F446" s="68"/>
      <c r="G446" s="68"/>
      <c r="H446" s="68"/>
      <c r="I446" s="68"/>
      <c r="J446" s="100">
        <f t="shared" si="79"/>
        <v>0</v>
      </c>
      <c r="K446" s="80"/>
      <c r="L446" s="180"/>
      <c r="M446" s="205"/>
      <c r="N446" s="204"/>
      <c r="O446" s="204"/>
      <c r="P446" s="204"/>
      <c r="Q446" s="170"/>
    </row>
    <row r="447" spans="1:17" ht="14.5" thickBot="1" x14ac:dyDescent="0.35">
      <c r="A447" s="70" t="s">
        <v>844</v>
      </c>
      <c r="B447" s="70"/>
      <c r="C447" s="72">
        <f t="shared" ref="C447:I447" si="80">C445+C361+C306+C203+C46</f>
        <v>30960631.103214584</v>
      </c>
      <c r="D447" s="72">
        <f t="shared" si="80"/>
        <v>500000</v>
      </c>
      <c r="E447" s="72">
        <f t="shared" si="80"/>
        <v>31460631.103214584</v>
      </c>
      <c r="F447" s="72">
        <f t="shared" si="80"/>
        <v>7000000</v>
      </c>
      <c r="G447" s="72">
        <f t="shared" si="80"/>
        <v>38460631.103214584</v>
      </c>
      <c r="H447" s="72">
        <f t="shared" si="80"/>
        <v>-379802.57847388578</v>
      </c>
      <c r="I447" s="72">
        <f t="shared" si="80"/>
        <v>38080828.524740696</v>
      </c>
      <c r="J447" s="72">
        <f>J445+J361+J306+J203+J46+J383+J375</f>
        <v>39680582.831156723</v>
      </c>
      <c r="K447" s="72">
        <f t="shared" ref="K447:L447" si="81">K445+K361+K306+K203+K46+K383+K375</f>
        <v>41347167.310065307</v>
      </c>
      <c r="L447" s="72">
        <f t="shared" si="81"/>
        <v>41192386.204425313</v>
      </c>
      <c r="M447" s="180"/>
      <c r="N447" s="193"/>
      <c r="O447" s="193"/>
    </row>
    <row r="448" spans="1:17" ht="15" thickTop="1" thickBot="1" x14ac:dyDescent="0.35">
      <c r="A448" s="116"/>
      <c r="B448" s="74"/>
      <c r="C448" s="80"/>
      <c r="D448" s="80"/>
      <c r="E448" s="54">
        <f t="shared" si="77"/>
        <v>0</v>
      </c>
      <c r="F448" s="68"/>
      <c r="G448" s="68"/>
      <c r="H448" s="68"/>
      <c r="I448" s="68"/>
      <c r="J448" s="72"/>
      <c r="K448" s="80"/>
      <c r="L448" s="180"/>
      <c r="M448" s="180"/>
      <c r="N448" s="193"/>
      <c r="O448" s="193"/>
    </row>
    <row r="449" spans="1:15" ht="15" thickTop="1" thickBot="1" x14ac:dyDescent="0.35">
      <c r="A449" s="102" t="s">
        <v>692</v>
      </c>
      <c r="B449" s="81"/>
      <c r="C449" s="119">
        <f t="shared" ref="C449:L449" si="82">C447+C389+C10</f>
        <v>30960631.103214584</v>
      </c>
      <c r="D449" s="119">
        <f t="shared" si="82"/>
        <v>0</v>
      </c>
      <c r="E449" s="119">
        <f t="shared" si="82"/>
        <v>30960631.103214584</v>
      </c>
      <c r="F449" s="119">
        <f t="shared" si="82"/>
        <v>7000000</v>
      </c>
      <c r="G449" s="119">
        <f t="shared" si="82"/>
        <v>37960631.103214584</v>
      </c>
      <c r="H449" s="119">
        <f t="shared" si="82"/>
        <v>-379802.57847388578</v>
      </c>
      <c r="I449" s="119">
        <f t="shared" si="82"/>
        <v>37580828.524740696</v>
      </c>
      <c r="J449" s="119">
        <f t="shared" si="82"/>
        <v>39680582.831156723</v>
      </c>
      <c r="K449" s="119">
        <f t="shared" si="82"/>
        <v>41347167.310065307</v>
      </c>
      <c r="L449" s="119">
        <f t="shared" si="82"/>
        <v>41192386.204425313</v>
      </c>
      <c r="M449" s="180"/>
      <c r="N449" s="193"/>
      <c r="O449" s="193"/>
    </row>
    <row r="450" spans="1:15" ht="14.5" thickTop="1" x14ac:dyDescent="0.3">
      <c r="J450" s="227">
        <f>J448+J390+J10</f>
        <v>0</v>
      </c>
    </row>
  </sheetData>
  <sortState xmlns:xlrd2="http://schemas.microsoft.com/office/spreadsheetml/2017/richdata2" ref="A6:AN40">
    <sortCondition ref="B6:B40"/>
  </sortState>
  <mergeCells count="3">
    <mergeCell ref="A2:L2"/>
    <mergeCell ref="A48:B48"/>
    <mergeCell ref="A5:B5"/>
  </mergeCells>
  <printOptions gridLines="1"/>
  <pageMargins left="0.70866141732283472" right="0.70866141732283472" top="0.74803149606299213" bottom="0.74803149606299213" header="0.31496062992125984" footer="0.31496062992125984"/>
  <pageSetup paperSize="9" scale="76" fitToHeight="0" orientation="landscape" r:id="rId1"/>
  <ignoredErrors>
    <ignoredError sqref="H412 H414" formula="1"/>
  </ignoredError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Q246"/>
  <sheetViews>
    <sheetView view="pageBreakPreview" zoomScale="80" zoomScaleNormal="80" zoomScaleSheetLayoutView="80" workbookViewId="0">
      <pane xSplit="2" ySplit="3" topLeftCell="G225" activePane="bottomRight" state="frozen"/>
      <selection activeCell="E140" sqref="E140"/>
      <selection pane="topRight" activeCell="E140" sqref="E140"/>
      <selection pane="bottomLeft" activeCell="E140" sqref="E140"/>
      <selection pane="bottomRight" activeCell="E140" sqref="E140"/>
    </sheetView>
  </sheetViews>
  <sheetFormatPr defaultColWidth="9.1796875" defaultRowHeight="13" x14ac:dyDescent="0.3"/>
  <cols>
    <col min="1" max="1" width="39.54296875" style="63" bestFit="1" customWidth="1"/>
    <col min="2" max="2" width="56.54296875" style="63" customWidth="1"/>
    <col min="3" max="4" width="14.7265625" style="64" hidden="1" customWidth="1"/>
    <col min="5" max="5" width="13.453125" style="64" bestFit="1" customWidth="1"/>
    <col min="6" max="6" width="14.7265625" style="64" hidden="1" customWidth="1"/>
    <col min="7" max="7" width="13.7265625" style="64" bestFit="1" customWidth="1"/>
    <col min="8" max="8" width="11.7265625" style="64" hidden="1" customWidth="1"/>
    <col min="9" max="10" width="14.7265625" style="64" customWidth="1"/>
    <col min="11" max="12" width="14.26953125" style="64" customWidth="1"/>
    <col min="13" max="13" width="17.453125" style="179" bestFit="1" customWidth="1"/>
    <col min="14" max="14" width="13.81640625" style="190" customWidth="1"/>
    <col min="15" max="15" width="13.81640625" style="190" bestFit="1" customWidth="1"/>
    <col min="16" max="17" width="13.81640625" style="64" bestFit="1" customWidth="1"/>
    <col min="18" max="16384" width="9.1796875" style="63"/>
  </cols>
  <sheetData>
    <row r="1" spans="1:17" ht="13.5" thickBot="1" x14ac:dyDescent="0.35">
      <c r="B1" s="231">
        <f>'2021 2022 DRAFT BUDGET SUMMARY'!J24</f>
        <v>-79111.445678055286</v>
      </c>
      <c r="C1" s="64">
        <f>'2021 2022 DRAFT BUDGET SUMMARY'!J24</f>
        <v>-79111.445678055286</v>
      </c>
    </row>
    <row r="2" spans="1:17" ht="13.5" thickBot="1" x14ac:dyDescent="0.35">
      <c r="A2" s="235" t="s">
        <v>1350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7"/>
    </row>
    <row r="3" spans="1:17" ht="30.75" customHeight="1" thickBot="1" x14ac:dyDescent="0.35">
      <c r="A3" s="75" t="s">
        <v>0</v>
      </c>
      <c r="B3" s="75" t="s">
        <v>1</v>
      </c>
      <c r="C3" s="161" t="s">
        <v>669</v>
      </c>
      <c r="D3" s="161" t="s">
        <v>1219</v>
      </c>
      <c r="E3" s="161" t="s">
        <v>1220</v>
      </c>
      <c r="F3" s="161" t="s">
        <v>1284</v>
      </c>
      <c r="G3" s="161" t="s">
        <v>1322</v>
      </c>
      <c r="H3" s="161" t="s">
        <v>1284</v>
      </c>
      <c r="I3" s="161" t="s">
        <v>1323</v>
      </c>
      <c r="J3" s="161" t="s">
        <v>1356</v>
      </c>
      <c r="K3" s="161" t="s">
        <v>670</v>
      </c>
      <c r="L3" s="175" t="s">
        <v>671</v>
      </c>
      <c r="M3" s="191"/>
      <c r="N3" s="192"/>
      <c r="O3" s="192"/>
    </row>
    <row r="4" spans="1:17" x14ac:dyDescent="0.3">
      <c r="A4" s="60"/>
      <c r="B4" s="60"/>
      <c r="C4" s="66"/>
      <c r="D4" s="66"/>
      <c r="E4" s="66"/>
      <c r="F4" s="66"/>
      <c r="G4" s="66"/>
      <c r="H4" s="66"/>
      <c r="I4" s="66"/>
      <c r="J4" s="66"/>
      <c r="K4" s="66"/>
      <c r="L4" s="206"/>
    </row>
    <row r="5" spans="1:17" x14ac:dyDescent="0.3">
      <c r="A5" s="50" t="s">
        <v>682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89"/>
    </row>
    <row r="6" spans="1:17" x14ac:dyDescent="0.3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  <c r="L6" s="89"/>
    </row>
    <row r="7" spans="1:17" x14ac:dyDescent="0.3">
      <c r="A7" s="50" t="s">
        <v>73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89"/>
    </row>
    <row r="8" spans="1:17" x14ac:dyDescent="0.3">
      <c r="A8" s="51" t="s">
        <v>72</v>
      </c>
      <c r="B8" s="52"/>
      <c r="C8" s="53"/>
      <c r="D8" s="53"/>
      <c r="E8" s="53"/>
      <c r="F8" s="53"/>
      <c r="G8" s="53"/>
      <c r="H8" s="53"/>
      <c r="I8" s="53"/>
      <c r="J8" s="53"/>
      <c r="K8" s="53"/>
      <c r="L8" s="176"/>
    </row>
    <row r="9" spans="1:17" x14ac:dyDescent="0.3">
      <c r="A9" s="52" t="s">
        <v>598</v>
      </c>
      <c r="B9" s="52" t="s">
        <v>555</v>
      </c>
      <c r="C9" s="53">
        <v>-924000</v>
      </c>
      <c r="D9" s="53">
        <v>19000</v>
      </c>
      <c r="E9" s="53">
        <f>C9+D9</f>
        <v>-905000</v>
      </c>
      <c r="F9" s="53"/>
      <c r="G9" s="53">
        <f>E9+F9</f>
        <v>-905000</v>
      </c>
      <c r="H9" s="53"/>
      <c r="I9" s="69">
        <f>G9+H9</f>
        <v>-905000</v>
      </c>
      <c r="J9" s="69">
        <v>-935000</v>
      </c>
      <c r="K9" s="53">
        <v>-981000</v>
      </c>
      <c r="L9" s="176">
        <v>-981000</v>
      </c>
    </row>
    <row r="10" spans="1:17" ht="13.5" thickBot="1" x14ac:dyDescent="0.35">
      <c r="A10" s="56" t="s">
        <v>599</v>
      </c>
      <c r="B10" s="56" t="s">
        <v>556</v>
      </c>
      <c r="C10" s="53">
        <v>-893000</v>
      </c>
      <c r="D10" s="53">
        <v>-18000</v>
      </c>
      <c r="E10" s="53">
        <f t="shared" ref="E10:E74" si="0">C10+D10</f>
        <v>-911000</v>
      </c>
      <c r="F10" s="53"/>
      <c r="G10" s="53">
        <f>E10+F10</f>
        <v>-911000</v>
      </c>
      <c r="H10" s="53"/>
      <c r="I10" s="69">
        <f>G10+H10</f>
        <v>-911000</v>
      </c>
      <c r="J10" s="69">
        <v>-975000</v>
      </c>
      <c r="K10" s="53">
        <v>-1023000</v>
      </c>
      <c r="L10" s="176">
        <v>-1023000</v>
      </c>
    </row>
    <row r="11" spans="1:17" s="77" customFormat="1" ht="13.5" thickBot="1" x14ac:dyDescent="0.35">
      <c r="A11" s="57" t="s">
        <v>200</v>
      </c>
      <c r="B11" s="57"/>
      <c r="C11" s="59">
        <f>SUM(C9:C10)</f>
        <v>-1817000</v>
      </c>
      <c r="D11" s="59">
        <f>SUM(D9:D10)</f>
        <v>1000</v>
      </c>
      <c r="E11" s="59">
        <f>SUM(E9:E10)</f>
        <v>-1816000</v>
      </c>
      <c r="F11" s="59">
        <f t="shared" ref="F11:L11" si="1">SUM(F9:F10)</f>
        <v>0</v>
      </c>
      <c r="G11" s="59">
        <f t="shared" si="1"/>
        <v>-1816000</v>
      </c>
      <c r="H11" s="59">
        <f t="shared" si="1"/>
        <v>0</v>
      </c>
      <c r="I11" s="59">
        <f t="shared" si="1"/>
        <v>-1816000</v>
      </c>
      <c r="J11" s="59">
        <f t="shared" si="1"/>
        <v>-1910000</v>
      </c>
      <c r="K11" s="59">
        <f t="shared" si="1"/>
        <v>-2004000</v>
      </c>
      <c r="L11" s="59">
        <f t="shared" si="1"/>
        <v>-2004000</v>
      </c>
      <c r="M11" s="180"/>
      <c r="N11" s="193"/>
      <c r="O11" s="193"/>
      <c r="P11" s="76"/>
      <c r="Q11" s="76"/>
    </row>
    <row r="12" spans="1:17" s="77" customFormat="1" ht="14" thickTop="1" thickBot="1" x14ac:dyDescent="0.35">
      <c r="A12" s="74"/>
      <c r="B12" s="74"/>
      <c r="C12" s="80"/>
      <c r="D12" s="80"/>
      <c r="E12" s="53">
        <f t="shared" si="0"/>
        <v>0</v>
      </c>
      <c r="F12" s="79"/>
      <c r="G12" s="79"/>
      <c r="H12" s="79"/>
      <c r="I12" s="79"/>
      <c r="J12" s="79"/>
      <c r="K12" s="80"/>
      <c r="L12" s="180"/>
      <c r="M12" s="180"/>
      <c r="N12" s="193"/>
      <c r="O12" s="193"/>
      <c r="P12" s="76"/>
      <c r="Q12" s="76"/>
    </row>
    <row r="13" spans="1:17" s="77" customFormat="1" ht="14" thickTop="1" thickBot="1" x14ac:dyDescent="0.35">
      <c r="A13" s="81" t="s">
        <v>79</v>
      </c>
      <c r="B13" s="81"/>
      <c r="C13" s="82">
        <f t="shared" ref="C13:L13" si="2">C11</f>
        <v>-1817000</v>
      </c>
      <c r="D13" s="82">
        <f t="shared" si="2"/>
        <v>1000</v>
      </c>
      <c r="E13" s="82">
        <f t="shared" si="2"/>
        <v>-1816000</v>
      </c>
      <c r="F13" s="82">
        <f t="shared" si="2"/>
        <v>0</v>
      </c>
      <c r="G13" s="82">
        <f t="shared" si="2"/>
        <v>-1816000</v>
      </c>
      <c r="H13" s="82">
        <f t="shared" si="2"/>
        <v>0</v>
      </c>
      <c r="I13" s="82">
        <f t="shared" si="2"/>
        <v>-1816000</v>
      </c>
      <c r="J13" s="82">
        <f t="shared" si="2"/>
        <v>-1910000</v>
      </c>
      <c r="K13" s="82">
        <f t="shared" si="2"/>
        <v>-2004000</v>
      </c>
      <c r="L13" s="82">
        <f t="shared" si="2"/>
        <v>-2004000</v>
      </c>
      <c r="M13" s="180"/>
      <c r="N13" s="193"/>
      <c r="O13" s="193"/>
      <c r="P13" s="76"/>
      <c r="Q13" s="76"/>
    </row>
    <row r="14" spans="1:17" ht="13.5" thickTop="1" x14ac:dyDescent="0.3">
      <c r="A14" s="60"/>
      <c r="B14" s="61"/>
      <c r="C14" s="101"/>
      <c r="D14" s="101"/>
      <c r="E14" s="53">
        <f t="shared" si="0"/>
        <v>0</v>
      </c>
      <c r="F14" s="62"/>
      <c r="G14" s="62"/>
      <c r="H14" s="62"/>
      <c r="I14" s="62"/>
      <c r="J14" s="62"/>
      <c r="K14" s="101"/>
      <c r="L14" s="207"/>
    </row>
    <row r="15" spans="1:17" x14ac:dyDescent="0.3">
      <c r="A15" s="50" t="s">
        <v>74</v>
      </c>
      <c r="B15" s="50"/>
      <c r="C15" s="50"/>
      <c r="D15" s="50"/>
      <c r="E15" s="53">
        <f t="shared" si="0"/>
        <v>0</v>
      </c>
      <c r="F15" s="53"/>
      <c r="G15" s="53"/>
      <c r="H15" s="53"/>
      <c r="I15" s="53"/>
      <c r="J15" s="53"/>
      <c r="K15" s="50"/>
      <c r="L15" s="89"/>
    </row>
    <row r="16" spans="1:17" x14ac:dyDescent="0.3">
      <c r="A16" s="51" t="s">
        <v>458</v>
      </c>
      <c r="B16" s="52"/>
      <c r="C16" s="53"/>
      <c r="D16" s="53"/>
      <c r="E16" s="53">
        <f t="shared" si="0"/>
        <v>0</v>
      </c>
      <c r="F16" s="53"/>
      <c r="G16" s="53"/>
      <c r="H16" s="53"/>
      <c r="I16" s="53"/>
      <c r="J16" s="53"/>
      <c r="K16" s="53"/>
      <c r="L16" s="176"/>
    </row>
    <row r="17" spans="1:17" x14ac:dyDescent="0.3">
      <c r="A17" s="51"/>
      <c r="B17" s="52"/>
      <c r="C17" s="53"/>
      <c r="D17" s="53"/>
      <c r="E17" s="53">
        <f t="shared" si="0"/>
        <v>0</v>
      </c>
      <c r="F17" s="53"/>
      <c r="G17" s="53"/>
      <c r="H17" s="53"/>
      <c r="I17" s="53"/>
      <c r="J17" s="53"/>
      <c r="K17" s="53"/>
      <c r="L17" s="176"/>
    </row>
    <row r="18" spans="1:17" x14ac:dyDescent="0.3">
      <c r="A18" s="51"/>
      <c r="B18" s="51" t="s">
        <v>465</v>
      </c>
      <c r="C18" s="53"/>
      <c r="D18" s="53"/>
      <c r="E18" s="53">
        <f t="shared" si="0"/>
        <v>0</v>
      </c>
      <c r="F18" s="53"/>
      <c r="G18" s="53"/>
      <c r="H18" s="53"/>
      <c r="I18" s="53"/>
      <c r="J18" s="53"/>
      <c r="K18" s="53"/>
      <c r="L18" s="176"/>
    </row>
    <row r="19" spans="1:17" x14ac:dyDescent="0.3">
      <c r="A19" s="52" t="s">
        <v>1160</v>
      </c>
      <c r="B19" s="52" t="s">
        <v>147</v>
      </c>
      <c r="C19" s="53">
        <v>10000</v>
      </c>
      <c r="D19" s="53"/>
      <c r="E19" s="53">
        <f t="shared" si="0"/>
        <v>10000</v>
      </c>
      <c r="F19" s="53"/>
      <c r="G19" s="53">
        <f>E19+F19</f>
        <v>10000</v>
      </c>
      <c r="H19" s="53">
        <v>-10000</v>
      </c>
      <c r="I19" s="69">
        <f>G19+H19</f>
        <v>0</v>
      </c>
      <c r="J19" s="69">
        <v>10000</v>
      </c>
      <c r="K19" s="53">
        <f>J19*104.2%</f>
        <v>10420</v>
      </c>
      <c r="L19" s="176">
        <f>K19*104.4%</f>
        <v>10878.48</v>
      </c>
    </row>
    <row r="20" spans="1:17" x14ac:dyDescent="0.3">
      <c r="A20" s="56" t="s">
        <v>1157</v>
      </c>
      <c r="B20" s="56" t="s">
        <v>1066</v>
      </c>
      <c r="C20" s="69">
        <v>100000</v>
      </c>
      <c r="D20" s="69"/>
      <c r="E20" s="53">
        <f t="shared" si="0"/>
        <v>100000</v>
      </c>
      <c r="F20" s="53"/>
      <c r="G20" s="53">
        <f>E20+F20</f>
        <v>100000</v>
      </c>
      <c r="H20" s="53"/>
      <c r="I20" s="69">
        <f>G20+H20</f>
        <v>100000</v>
      </c>
      <c r="J20" s="69">
        <v>100000</v>
      </c>
      <c r="K20" s="53">
        <f>J20*104.2%</f>
        <v>104200</v>
      </c>
      <c r="L20" s="176">
        <f>K20*104.4%</f>
        <v>108784.8</v>
      </c>
    </row>
    <row r="21" spans="1:17" ht="13.5" thickBot="1" x14ac:dyDescent="0.35">
      <c r="A21" s="56" t="s">
        <v>603</v>
      </c>
      <c r="B21" s="56" t="s">
        <v>181</v>
      </c>
      <c r="C21" s="69">
        <v>17106.36</v>
      </c>
      <c r="D21" s="69"/>
      <c r="E21" s="53">
        <f t="shared" si="0"/>
        <v>17106.36</v>
      </c>
      <c r="F21" s="69"/>
      <c r="G21" s="53">
        <f>E21+F21</f>
        <v>17106.36</v>
      </c>
      <c r="H21" s="69"/>
      <c r="I21" s="69">
        <f>G21+H21</f>
        <v>17106.36</v>
      </c>
      <c r="J21" s="69">
        <v>17106.36</v>
      </c>
      <c r="K21" s="53">
        <f>J21*104.2%</f>
        <v>17824.827120000002</v>
      </c>
      <c r="L21" s="176">
        <f>K21*104.4%</f>
        <v>18609.119513280002</v>
      </c>
    </row>
    <row r="22" spans="1:17" s="77" customFormat="1" ht="13.5" thickBot="1" x14ac:dyDescent="0.35">
      <c r="A22" s="57" t="s">
        <v>674</v>
      </c>
      <c r="B22" s="57"/>
      <c r="C22" s="59">
        <f>SUM(C19:C21)</f>
        <v>127106.36</v>
      </c>
      <c r="D22" s="59">
        <f t="shared" ref="D22:L22" si="3">SUM(D19:D21)</f>
        <v>0</v>
      </c>
      <c r="E22" s="59">
        <f t="shared" si="3"/>
        <v>127106.36</v>
      </c>
      <c r="F22" s="59">
        <f t="shared" si="3"/>
        <v>0</v>
      </c>
      <c r="G22" s="59">
        <f t="shared" si="3"/>
        <v>127106.36</v>
      </c>
      <c r="H22" s="59">
        <f t="shared" si="3"/>
        <v>-10000</v>
      </c>
      <c r="I22" s="59">
        <f t="shared" si="3"/>
        <v>117106.36</v>
      </c>
      <c r="J22" s="59">
        <f t="shared" si="3"/>
        <v>127106.36</v>
      </c>
      <c r="K22" s="59">
        <f t="shared" si="3"/>
        <v>132444.82712</v>
      </c>
      <c r="L22" s="59">
        <f t="shared" si="3"/>
        <v>138272.39951327999</v>
      </c>
      <c r="M22" s="180"/>
      <c r="N22" s="193"/>
      <c r="O22" s="193"/>
      <c r="P22" s="76"/>
      <c r="Q22" s="76"/>
    </row>
    <row r="23" spans="1:17" ht="13.5" thickTop="1" x14ac:dyDescent="0.3">
      <c r="A23" s="60"/>
      <c r="B23" s="61"/>
      <c r="C23" s="62"/>
      <c r="D23" s="62"/>
      <c r="E23" s="53">
        <f t="shared" si="0"/>
        <v>0</v>
      </c>
      <c r="F23" s="62"/>
      <c r="G23" s="62"/>
      <c r="H23" s="62"/>
      <c r="I23" s="62"/>
      <c r="J23" s="62"/>
      <c r="K23" s="62"/>
      <c r="L23" s="184"/>
    </row>
    <row r="24" spans="1:17" x14ac:dyDescent="0.3">
      <c r="A24" s="51" t="s">
        <v>77</v>
      </c>
      <c r="B24" s="52"/>
      <c r="C24" s="53"/>
      <c r="D24" s="53"/>
      <c r="E24" s="53">
        <f t="shared" si="0"/>
        <v>0</v>
      </c>
      <c r="F24" s="53"/>
      <c r="G24" s="53"/>
      <c r="H24" s="53"/>
      <c r="I24" s="53"/>
      <c r="J24" s="53"/>
      <c r="K24" s="53"/>
      <c r="L24" s="176"/>
    </row>
    <row r="25" spans="1:17" x14ac:dyDescent="0.3">
      <c r="A25" s="52" t="s">
        <v>610</v>
      </c>
      <c r="B25" s="52" t="s">
        <v>169</v>
      </c>
      <c r="C25" s="53">
        <v>782.88000000000011</v>
      </c>
      <c r="D25" s="53"/>
      <c r="E25" s="53">
        <f t="shared" si="0"/>
        <v>782.88000000000011</v>
      </c>
      <c r="F25" s="53"/>
      <c r="G25" s="53">
        <f t="shared" ref="G25:G34" si="4">E25+F25</f>
        <v>782.88000000000011</v>
      </c>
      <c r="H25" s="53">
        <v>7.1187498979270458E-3</v>
      </c>
      <c r="I25" s="69">
        <f t="shared" ref="I25:I34" si="5">G25+H25</f>
        <v>782.88711874989804</v>
      </c>
      <c r="J25" s="69">
        <v>782.88000000000011</v>
      </c>
      <c r="K25" s="53">
        <f t="shared" ref="K25:K32" si="6">J25*104.2%</f>
        <v>815.76096000000018</v>
      </c>
      <c r="L25" s="176">
        <f t="shared" ref="L25:L32" si="7">K25*104.4%</f>
        <v>851.65444224000021</v>
      </c>
    </row>
    <row r="26" spans="1:17" x14ac:dyDescent="0.3">
      <c r="A26" s="52" t="s">
        <v>609</v>
      </c>
      <c r="B26" s="52" t="s">
        <v>188</v>
      </c>
      <c r="C26" s="53"/>
      <c r="D26" s="53"/>
      <c r="E26" s="53">
        <f t="shared" si="0"/>
        <v>0</v>
      </c>
      <c r="F26" s="53"/>
      <c r="G26" s="53">
        <f t="shared" si="4"/>
        <v>0</v>
      </c>
      <c r="H26" s="53">
        <v>113177.43</v>
      </c>
      <c r="I26" s="69">
        <f t="shared" si="5"/>
        <v>113177.43</v>
      </c>
      <c r="J26" s="69">
        <v>70000</v>
      </c>
      <c r="K26" s="53">
        <f t="shared" si="6"/>
        <v>72940</v>
      </c>
      <c r="L26" s="176">
        <f t="shared" si="7"/>
        <v>76149.36</v>
      </c>
    </row>
    <row r="27" spans="1:17" x14ac:dyDescent="0.3">
      <c r="A27" s="52" t="s">
        <v>611</v>
      </c>
      <c r="B27" s="52" t="s">
        <v>178</v>
      </c>
      <c r="C27" s="53">
        <v>12492.479999999998</v>
      </c>
      <c r="D27" s="53"/>
      <c r="E27" s="53">
        <f t="shared" si="0"/>
        <v>12492.479999999998</v>
      </c>
      <c r="F27" s="53"/>
      <c r="G27" s="53">
        <f t="shared" si="4"/>
        <v>12492.479999999998</v>
      </c>
      <c r="H27" s="53">
        <v>0</v>
      </c>
      <c r="I27" s="69">
        <f t="shared" si="5"/>
        <v>12492.479999999998</v>
      </c>
      <c r="J27" s="69">
        <v>12492.479999999998</v>
      </c>
      <c r="K27" s="53">
        <f t="shared" si="6"/>
        <v>13017.164159999998</v>
      </c>
      <c r="L27" s="176">
        <f t="shared" si="7"/>
        <v>13589.919383039998</v>
      </c>
    </row>
    <row r="28" spans="1:17" x14ac:dyDescent="0.3">
      <c r="A28" s="52" t="s">
        <v>650</v>
      </c>
      <c r="B28" s="52" t="s">
        <v>167</v>
      </c>
      <c r="C28" s="53">
        <v>107559.97749999999</v>
      </c>
      <c r="D28" s="53"/>
      <c r="E28" s="53">
        <f t="shared" si="0"/>
        <v>107559.97749999999</v>
      </c>
      <c r="F28" s="53"/>
      <c r="G28" s="53">
        <f t="shared" si="4"/>
        <v>107559.97749999999</v>
      </c>
      <c r="H28" s="53">
        <v>12658.222500000018</v>
      </c>
      <c r="I28" s="69">
        <f t="shared" si="5"/>
        <v>120218.20000000001</v>
      </c>
      <c r="J28" s="69">
        <v>124196.321068</v>
      </c>
      <c r="K28" s="53">
        <f t="shared" si="6"/>
        <v>129412.56655285601</v>
      </c>
      <c r="L28" s="176">
        <f t="shared" si="7"/>
        <v>135106.71948118167</v>
      </c>
    </row>
    <row r="29" spans="1:17" x14ac:dyDescent="0.3">
      <c r="A29" s="52" t="s">
        <v>184</v>
      </c>
      <c r="B29" s="52" t="s">
        <v>185</v>
      </c>
      <c r="C29" s="53"/>
      <c r="D29" s="53"/>
      <c r="E29" s="53">
        <f t="shared" si="0"/>
        <v>0</v>
      </c>
      <c r="F29" s="53"/>
      <c r="G29" s="53">
        <f t="shared" si="4"/>
        <v>0</v>
      </c>
      <c r="H29" s="53">
        <v>0</v>
      </c>
      <c r="I29" s="69">
        <f t="shared" si="5"/>
        <v>0</v>
      </c>
      <c r="J29" s="69"/>
      <c r="K29" s="53">
        <f t="shared" si="6"/>
        <v>0</v>
      </c>
      <c r="L29" s="176">
        <f t="shared" si="7"/>
        <v>0</v>
      </c>
    </row>
    <row r="30" spans="1:17" x14ac:dyDescent="0.3">
      <c r="A30" s="52" t="s">
        <v>649</v>
      </c>
      <c r="B30" s="52" t="s">
        <v>172</v>
      </c>
      <c r="C30" s="53">
        <v>155880</v>
      </c>
      <c r="D30" s="53"/>
      <c r="E30" s="53">
        <f t="shared" si="0"/>
        <v>155880</v>
      </c>
      <c r="F30" s="53"/>
      <c r="G30" s="53">
        <f t="shared" si="4"/>
        <v>155880</v>
      </c>
      <c r="H30" s="53">
        <v>44172</v>
      </c>
      <c r="I30" s="69">
        <f t="shared" si="5"/>
        <v>200052</v>
      </c>
      <c r="J30" s="69">
        <v>200052</v>
      </c>
      <c r="K30" s="53">
        <f t="shared" si="6"/>
        <v>208454.18400000001</v>
      </c>
      <c r="L30" s="176">
        <f t="shared" si="7"/>
        <v>217626.16809600001</v>
      </c>
    </row>
    <row r="31" spans="1:17" x14ac:dyDescent="0.3">
      <c r="A31" s="52" t="s">
        <v>612</v>
      </c>
      <c r="B31" s="52" t="s">
        <v>191</v>
      </c>
      <c r="C31" s="53"/>
      <c r="D31" s="53"/>
      <c r="E31" s="53">
        <f t="shared" si="0"/>
        <v>0</v>
      </c>
      <c r="F31" s="53"/>
      <c r="G31" s="53">
        <f t="shared" si="4"/>
        <v>0</v>
      </c>
      <c r="H31" s="53">
        <v>20000</v>
      </c>
      <c r="I31" s="69">
        <f t="shared" si="5"/>
        <v>20000</v>
      </c>
      <c r="J31" s="69">
        <v>15000</v>
      </c>
      <c r="K31" s="53">
        <f t="shared" si="6"/>
        <v>15630</v>
      </c>
      <c r="L31" s="176">
        <f t="shared" si="7"/>
        <v>16317.720000000001</v>
      </c>
    </row>
    <row r="32" spans="1:17" x14ac:dyDescent="0.3">
      <c r="A32" s="52" t="s">
        <v>651</v>
      </c>
      <c r="B32" s="52" t="s">
        <v>175</v>
      </c>
      <c r="C32" s="53">
        <v>268011.21772499999</v>
      </c>
      <c r="D32" s="53"/>
      <c r="E32" s="53">
        <f t="shared" si="0"/>
        <v>268011.21772499999</v>
      </c>
      <c r="F32" s="53"/>
      <c r="G32" s="53">
        <f t="shared" si="4"/>
        <v>268011.21772499999</v>
      </c>
      <c r="H32" s="53">
        <v>99306.695156250033</v>
      </c>
      <c r="I32" s="69">
        <f t="shared" si="5"/>
        <v>367317.91288125003</v>
      </c>
      <c r="J32" s="69">
        <v>375835.38114131999</v>
      </c>
      <c r="K32" s="53">
        <f t="shared" si="6"/>
        <v>391620.46714925545</v>
      </c>
      <c r="L32" s="176">
        <f t="shared" si="7"/>
        <v>408851.7677038227</v>
      </c>
    </row>
    <row r="33" spans="1:15" x14ac:dyDescent="0.3">
      <c r="A33" s="52" t="s">
        <v>652</v>
      </c>
      <c r="B33" s="52" t="s">
        <v>164</v>
      </c>
      <c r="C33" s="53">
        <v>1255167.0847749996</v>
      </c>
      <c r="D33" s="53">
        <v>-1000</v>
      </c>
      <c r="E33" s="53">
        <f t="shared" si="0"/>
        <v>1254167.0847749996</v>
      </c>
      <c r="F33" s="53"/>
      <c r="G33" s="53">
        <f t="shared" si="4"/>
        <v>1254167.0847749996</v>
      </c>
      <c r="H33" s="53">
        <v>-289314.35477499967</v>
      </c>
      <c r="I33" s="69">
        <f t="shared" si="5"/>
        <v>964852.73</v>
      </c>
      <c r="J33" s="69">
        <v>1094534.58</v>
      </c>
      <c r="K33" s="53">
        <v>1154285.03</v>
      </c>
      <c r="L33" s="176">
        <v>1135506.69</v>
      </c>
    </row>
    <row r="34" spans="1:15" ht="13.5" thickBot="1" x14ac:dyDescent="0.35">
      <c r="A34" s="56" t="s">
        <v>1159</v>
      </c>
      <c r="B34" s="52" t="s">
        <v>1158</v>
      </c>
      <c r="C34" s="69">
        <v>483927.56022500026</v>
      </c>
      <c r="D34" s="69">
        <v>1000</v>
      </c>
      <c r="E34" s="53">
        <f t="shared" si="0"/>
        <v>484927.56022500026</v>
      </c>
      <c r="F34" s="69"/>
      <c r="G34" s="53">
        <f t="shared" si="4"/>
        <v>484927.56022500026</v>
      </c>
      <c r="H34" s="53">
        <v>300367.5197749997</v>
      </c>
      <c r="I34" s="69">
        <f t="shared" si="5"/>
        <v>785295.08</v>
      </c>
      <c r="J34" s="69">
        <v>758855.25201599998</v>
      </c>
      <c r="K34" s="53">
        <v>776947.17496067216</v>
      </c>
      <c r="L34" s="176">
        <v>880699.73197894171</v>
      </c>
    </row>
    <row r="35" spans="1:15" ht="13.5" thickBot="1" x14ac:dyDescent="0.35">
      <c r="A35" s="57" t="s">
        <v>257</v>
      </c>
      <c r="B35" s="57"/>
      <c r="C35" s="59">
        <f>SUM(C25:C34)</f>
        <v>2283821.2002249998</v>
      </c>
      <c r="D35" s="59">
        <f t="shared" ref="D35:L35" si="8">SUM(D25:D34)</f>
        <v>0</v>
      </c>
      <c r="E35" s="59">
        <f t="shared" si="8"/>
        <v>2283821.2002249998</v>
      </c>
      <c r="F35" s="59">
        <f t="shared" si="8"/>
        <v>0</v>
      </c>
      <c r="G35" s="59">
        <f t="shared" si="8"/>
        <v>2283821.2002249998</v>
      </c>
      <c r="H35" s="59">
        <f t="shared" si="8"/>
        <v>300367.51977499999</v>
      </c>
      <c r="I35" s="59">
        <f t="shared" si="8"/>
        <v>2584188.7199999997</v>
      </c>
      <c r="J35" s="59">
        <f t="shared" si="8"/>
        <v>2651748.8942253198</v>
      </c>
      <c r="K35" s="59">
        <f t="shared" si="8"/>
        <v>2763122.3477827837</v>
      </c>
      <c r="L35" s="59">
        <f t="shared" si="8"/>
        <v>2884699.7310852259</v>
      </c>
      <c r="M35" s="180"/>
      <c r="N35" s="193"/>
      <c r="O35" s="193"/>
    </row>
    <row r="36" spans="1:15" ht="14" thickTop="1" thickBot="1" x14ac:dyDescent="0.35">
      <c r="A36" s="74"/>
      <c r="B36" s="73"/>
      <c r="C36" s="79"/>
      <c r="D36" s="79"/>
      <c r="E36" s="53">
        <f t="shared" si="0"/>
        <v>0</v>
      </c>
      <c r="F36" s="79"/>
      <c r="G36" s="79"/>
      <c r="H36" s="79"/>
      <c r="I36" s="79"/>
      <c r="J36" s="79"/>
      <c r="K36" s="79"/>
      <c r="L36" s="179"/>
    </row>
    <row r="37" spans="1:15" ht="13.5" thickBot="1" x14ac:dyDescent="0.35">
      <c r="A37" s="70" t="s">
        <v>683</v>
      </c>
      <c r="B37" s="70"/>
      <c r="C37" s="72">
        <f>C35+C22</f>
        <v>2410927.5602249997</v>
      </c>
      <c r="D37" s="72">
        <f t="shared" ref="D37:L37" si="9">D35+D22</f>
        <v>0</v>
      </c>
      <c r="E37" s="72">
        <f t="shared" si="9"/>
        <v>2410927.5602249997</v>
      </c>
      <c r="F37" s="72">
        <f t="shared" si="9"/>
        <v>0</v>
      </c>
      <c r="G37" s="72">
        <f t="shared" si="9"/>
        <v>2410927.5602249997</v>
      </c>
      <c r="H37" s="72">
        <f t="shared" si="9"/>
        <v>290367.51977499999</v>
      </c>
      <c r="I37" s="72">
        <f t="shared" si="9"/>
        <v>2701295.0799999996</v>
      </c>
      <c r="J37" s="72">
        <f t="shared" si="9"/>
        <v>2778855.2542253197</v>
      </c>
      <c r="K37" s="72">
        <f t="shared" si="9"/>
        <v>2895567.1749027837</v>
      </c>
      <c r="L37" s="72">
        <f t="shared" si="9"/>
        <v>3022972.130598506</v>
      </c>
      <c r="M37" s="180"/>
      <c r="N37" s="193"/>
      <c r="O37" s="193"/>
    </row>
    <row r="38" spans="1:15" ht="13.5" thickTop="1" x14ac:dyDescent="0.3">
      <c r="A38" s="60"/>
      <c r="B38" s="61"/>
      <c r="C38" s="62"/>
      <c r="D38" s="62"/>
      <c r="E38" s="53">
        <f t="shared" si="0"/>
        <v>0</v>
      </c>
      <c r="F38" s="62"/>
      <c r="G38" s="62"/>
      <c r="H38" s="62"/>
      <c r="I38" s="62"/>
      <c r="J38" s="62"/>
      <c r="K38" s="62"/>
      <c r="L38" s="184"/>
    </row>
    <row r="39" spans="1:15" x14ac:dyDescent="0.3">
      <c r="A39" s="50" t="s">
        <v>684</v>
      </c>
      <c r="B39" s="50"/>
      <c r="C39" s="50"/>
      <c r="D39" s="50"/>
      <c r="E39" s="53">
        <f t="shared" si="0"/>
        <v>0</v>
      </c>
      <c r="F39" s="53"/>
      <c r="G39" s="53"/>
      <c r="H39" s="53"/>
      <c r="I39" s="53"/>
      <c r="J39" s="53"/>
      <c r="K39" s="50"/>
      <c r="L39" s="89"/>
    </row>
    <row r="40" spans="1:15" x14ac:dyDescent="0.3">
      <c r="A40" s="51"/>
      <c r="B40" s="52"/>
      <c r="C40" s="53"/>
      <c r="D40" s="53"/>
      <c r="E40" s="53">
        <f t="shared" si="0"/>
        <v>0</v>
      </c>
      <c r="F40" s="53"/>
      <c r="G40" s="53"/>
      <c r="H40" s="53"/>
      <c r="I40" s="53"/>
      <c r="J40" s="53"/>
      <c r="K40" s="53"/>
      <c r="L40" s="176"/>
    </row>
    <row r="41" spans="1:15" x14ac:dyDescent="0.3">
      <c r="A41" s="51" t="s">
        <v>458</v>
      </c>
      <c r="B41" s="52"/>
      <c r="C41" s="53"/>
      <c r="D41" s="53"/>
      <c r="E41" s="53">
        <f t="shared" si="0"/>
        <v>0</v>
      </c>
      <c r="F41" s="53"/>
      <c r="G41" s="53"/>
      <c r="H41" s="53"/>
      <c r="I41" s="53"/>
      <c r="J41" s="53"/>
      <c r="K41" s="53"/>
      <c r="L41" s="176"/>
    </row>
    <row r="42" spans="1:15" x14ac:dyDescent="0.3">
      <c r="A42" s="51"/>
      <c r="B42" s="52"/>
      <c r="C42" s="53"/>
      <c r="D42" s="53"/>
      <c r="E42" s="53"/>
      <c r="F42" s="53"/>
      <c r="G42" s="53"/>
      <c r="H42" s="53"/>
      <c r="I42" s="53"/>
      <c r="J42" s="53"/>
      <c r="K42" s="53"/>
      <c r="L42" s="176"/>
    </row>
    <row r="43" spans="1:15" x14ac:dyDescent="0.3">
      <c r="A43" s="52"/>
      <c r="B43" s="51" t="s">
        <v>486</v>
      </c>
      <c r="C43" s="53">
        <v>0</v>
      </c>
      <c r="D43" s="53"/>
      <c r="E43" s="53">
        <f t="shared" si="0"/>
        <v>0</v>
      </c>
      <c r="F43" s="53"/>
      <c r="G43" s="53"/>
      <c r="H43" s="53"/>
      <c r="I43" s="53"/>
      <c r="J43" s="53"/>
      <c r="K43" s="53"/>
      <c r="L43" s="176"/>
    </row>
    <row r="44" spans="1:15" x14ac:dyDescent="0.3">
      <c r="A44" s="52" t="s">
        <v>1065</v>
      </c>
      <c r="B44" s="52" t="s">
        <v>1062</v>
      </c>
      <c r="C44" s="53">
        <v>150000</v>
      </c>
      <c r="D44" s="53"/>
      <c r="E44" s="53">
        <f t="shared" si="0"/>
        <v>150000</v>
      </c>
      <c r="F44" s="53"/>
      <c r="G44" s="53">
        <f t="shared" ref="G44:G75" si="10">E44+F44</f>
        <v>150000</v>
      </c>
      <c r="H44" s="53">
        <v>-125500</v>
      </c>
      <c r="I44" s="69">
        <f t="shared" ref="I44:I75" si="11">G44+H44</f>
        <v>24500</v>
      </c>
      <c r="J44" s="69">
        <v>150000</v>
      </c>
      <c r="K44" s="53">
        <f t="shared" ref="K44:K75" si="12">J44*104.2%</f>
        <v>156300</v>
      </c>
      <c r="L44" s="176">
        <f t="shared" ref="L44:L75" si="13">K44*104.4%</f>
        <v>163177.20000000001</v>
      </c>
    </row>
    <row r="45" spans="1:15" x14ac:dyDescent="0.3">
      <c r="A45" s="52" t="s">
        <v>1071</v>
      </c>
      <c r="B45" s="52" t="s">
        <v>1063</v>
      </c>
      <c r="C45" s="53">
        <v>50000</v>
      </c>
      <c r="D45" s="53"/>
      <c r="E45" s="53">
        <f t="shared" si="0"/>
        <v>50000</v>
      </c>
      <c r="F45" s="53"/>
      <c r="G45" s="53">
        <f t="shared" si="10"/>
        <v>50000</v>
      </c>
      <c r="H45" s="53">
        <f>(50000+100000)-144442</f>
        <v>5558</v>
      </c>
      <c r="I45" s="69">
        <f t="shared" si="11"/>
        <v>55558</v>
      </c>
      <c r="J45" s="69">
        <v>50000</v>
      </c>
      <c r="K45" s="53">
        <f t="shared" si="12"/>
        <v>52100</v>
      </c>
      <c r="L45" s="176">
        <f t="shared" si="13"/>
        <v>54392.4</v>
      </c>
    </row>
    <row r="46" spans="1:15" x14ac:dyDescent="0.3">
      <c r="A46" s="52" t="s">
        <v>1069</v>
      </c>
      <c r="B46" s="52" t="s">
        <v>1070</v>
      </c>
      <c r="C46" s="53">
        <v>50000</v>
      </c>
      <c r="D46" s="53"/>
      <c r="E46" s="53">
        <f t="shared" si="0"/>
        <v>50000</v>
      </c>
      <c r="F46" s="53"/>
      <c r="G46" s="53">
        <f t="shared" si="10"/>
        <v>50000</v>
      </c>
      <c r="H46" s="53">
        <v>-24380</v>
      </c>
      <c r="I46" s="69">
        <f t="shared" si="11"/>
        <v>25620</v>
      </c>
      <c r="J46" s="69">
        <v>80000</v>
      </c>
      <c r="K46" s="53">
        <f t="shared" si="12"/>
        <v>83360</v>
      </c>
      <c r="L46" s="176">
        <f t="shared" si="13"/>
        <v>87027.839999999997</v>
      </c>
      <c r="M46" s="210"/>
      <c r="N46" s="211"/>
    </row>
    <row r="47" spans="1:15" x14ac:dyDescent="0.3">
      <c r="A47" s="52" t="s">
        <v>1072</v>
      </c>
      <c r="B47" s="52" t="s">
        <v>1064</v>
      </c>
      <c r="C47" s="53">
        <v>90000</v>
      </c>
      <c r="D47" s="53"/>
      <c r="E47" s="53">
        <f t="shared" si="0"/>
        <v>90000</v>
      </c>
      <c r="F47" s="53"/>
      <c r="G47" s="53">
        <f t="shared" si="10"/>
        <v>90000</v>
      </c>
      <c r="H47" s="53">
        <v>-83500</v>
      </c>
      <c r="I47" s="69">
        <f t="shared" si="11"/>
        <v>6500</v>
      </c>
      <c r="J47" s="69">
        <v>100000</v>
      </c>
      <c r="K47" s="53">
        <f t="shared" si="12"/>
        <v>104200</v>
      </c>
      <c r="L47" s="176">
        <f t="shared" si="13"/>
        <v>108784.8</v>
      </c>
    </row>
    <row r="48" spans="1:15" x14ac:dyDescent="0.3">
      <c r="A48" s="52" t="s">
        <v>1067</v>
      </c>
      <c r="B48" s="52" t="s">
        <v>1068</v>
      </c>
      <c r="C48" s="53">
        <v>120000</v>
      </c>
      <c r="D48" s="53"/>
      <c r="E48" s="53">
        <f t="shared" si="0"/>
        <v>120000</v>
      </c>
      <c r="F48" s="53"/>
      <c r="G48" s="53">
        <f t="shared" si="10"/>
        <v>120000</v>
      </c>
      <c r="H48" s="53">
        <f>(-20000-30000)-51000</f>
        <v>-101000</v>
      </c>
      <c r="I48" s="69">
        <f t="shared" si="11"/>
        <v>19000</v>
      </c>
      <c r="J48" s="69">
        <v>120000</v>
      </c>
      <c r="K48" s="53">
        <f t="shared" si="12"/>
        <v>125040</v>
      </c>
      <c r="L48" s="176">
        <f t="shared" si="13"/>
        <v>130541.76000000001</v>
      </c>
    </row>
    <row r="49" spans="1:12" x14ac:dyDescent="0.3">
      <c r="A49" s="52"/>
      <c r="B49" s="51" t="s">
        <v>702</v>
      </c>
      <c r="C49" s="53">
        <v>0</v>
      </c>
      <c r="D49" s="53"/>
      <c r="E49" s="53">
        <f t="shared" si="0"/>
        <v>0</v>
      </c>
      <c r="F49" s="53"/>
      <c r="G49" s="53">
        <f t="shared" si="10"/>
        <v>0</v>
      </c>
      <c r="H49" s="53">
        <v>0</v>
      </c>
      <c r="I49" s="69">
        <f t="shared" si="11"/>
        <v>0</v>
      </c>
      <c r="J49" s="69"/>
      <c r="K49" s="53">
        <f t="shared" si="12"/>
        <v>0</v>
      </c>
      <c r="L49" s="176">
        <f t="shared" si="13"/>
        <v>0</v>
      </c>
    </row>
    <row r="50" spans="1:12" x14ac:dyDescent="0.3">
      <c r="A50" s="52" t="s">
        <v>1078</v>
      </c>
      <c r="B50" s="52" t="s">
        <v>1073</v>
      </c>
      <c r="C50" s="53">
        <v>90000</v>
      </c>
      <c r="D50" s="53"/>
      <c r="E50" s="53">
        <f t="shared" si="0"/>
        <v>90000</v>
      </c>
      <c r="F50" s="53"/>
      <c r="G50" s="53">
        <f t="shared" si="10"/>
        <v>90000</v>
      </c>
      <c r="H50" s="53">
        <v>-37500</v>
      </c>
      <c r="I50" s="69">
        <f t="shared" si="11"/>
        <v>52500</v>
      </c>
      <c r="J50" s="69">
        <v>100000</v>
      </c>
      <c r="K50" s="53">
        <f t="shared" si="12"/>
        <v>104200</v>
      </c>
      <c r="L50" s="176">
        <f t="shared" si="13"/>
        <v>108784.8</v>
      </c>
    </row>
    <row r="51" spans="1:12" x14ac:dyDescent="0.3">
      <c r="A51" s="52" t="s">
        <v>1074</v>
      </c>
      <c r="B51" s="52" t="s">
        <v>144</v>
      </c>
      <c r="C51" s="53">
        <v>90000</v>
      </c>
      <c r="D51" s="53"/>
      <c r="E51" s="53">
        <f t="shared" si="0"/>
        <v>90000</v>
      </c>
      <c r="F51" s="53"/>
      <c r="G51" s="53">
        <f t="shared" si="10"/>
        <v>90000</v>
      </c>
      <c r="H51" s="53">
        <v>-61950</v>
      </c>
      <c r="I51" s="69">
        <f t="shared" si="11"/>
        <v>28050</v>
      </c>
      <c r="J51" s="69">
        <v>80000</v>
      </c>
      <c r="K51" s="53">
        <f t="shared" si="12"/>
        <v>83360</v>
      </c>
      <c r="L51" s="176">
        <f t="shared" si="13"/>
        <v>87027.839999999997</v>
      </c>
    </row>
    <row r="52" spans="1:12" x14ac:dyDescent="0.3">
      <c r="A52" s="52" t="s">
        <v>1076</v>
      </c>
      <c r="B52" s="52" t="s">
        <v>145</v>
      </c>
      <c r="C52" s="53">
        <v>30000</v>
      </c>
      <c r="D52" s="53"/>
      <c r="E52" s="53">
        <f t="shared" si="0"/>
        <v>30000</v>
      </c>
      <c r="F52" s="53"/>
      <c r="G52" s="53">
        <f t="shared" si="10"/>
        <v>30000</v>
      </c>
      <c r="H52" s="53">
        <v>-30000</v>
      </c>
      <c r="I52" s="69">
        <f t="shared" si="11"/>
        <v>0</v>
      </c>
      <c r="J52" s="69">
        <v>30000</v>
      </c>
      <c r="K52" s="53">
        <f t="shared" si="12"/>
        <v>31260</v>
      </c>
      <c r="L52" s="176">
        <f t="shared" si="13"/>
        <v>32635.440000000002</v>
      </c>
    </row>
    <row r="53" spans="1:12" x14ac:dyDescent="0.3">
      <c r="A53" s="52" t="s">
        <v>1077</v>
      </c>
      <c r="B53" s="52" t="s">
        <v>143</v>
      </c>
      <c r="C53" s="53">
        <v>30000</v>
      </c>
      <c r="D53" s="53"/>
      <c r="E53" s="53">
        <f t="shared" si="0"/>
        <v>30000</v>
      </c>
      <c r="F53" s="53"/>
      <c r="G53" s="53">
        <f t="shared" si="10"/>
        <v>30000</v>
      </c>
      <c r="H53" s="53">
        <v>-5910</v>
      </c>
      <c r="I53" s="69">
        <f t="shared" si="11"/>
        <v>24090</v>
      </c>
      <c r="J53" s="69">
        <v>40000</v>
      </c>
      <c r="K53" s="53">
        <f t="shared" si="12"/>
        <v>41680</v>
      </c>
      <c r="L53" s="176">
        <f t="shared" si="13"/>
        <v>43513.919999999998</v>
      </c>
    </row>
    <row r="54" spans="1:12" x14ac:dyDescent="0.3">
      <c r="A54" s="52" t="s">
        <v>1075</v>
      </c>
      <c r="B54" s="52" t="s">
        <v>146</v>
      </c>
      <c r="C54" s="53">
        <v>60000</v>
      </c>
      <c r="D54" s="53"/>
      <c r="E54" s="53">
        <f t="shared" si="0"/>
        <v>60000</v>
      </c>
      <c r="F54" s="53"/>
      <c r="G54" s="53">
        <f t="shared" si="10"/>
        <v>60000</v>
      </c>
      <c r="H54" s="53">
        <v>-38000</v>
      </c>
      <c r="I54" s="69">
        <f t="shared" si="11"/>
        <v>22000</v>
      </c>
      <c r="J54" s="69">
        <v>60000</v>
      </c>
      <c r="K54" s="53">
        <f t="shared" si="12"/>
        <v>62520</v>
      </c>
      <c r="L54" s="176">
        <f t="shared" si="13"/>
        <v>65270.880000000005</v>
      </c>
    </row>
    <row r="55" spans="1:12" x14ac:dyDescent="0.3">
      <c r="A55" s="52"/>
      <c r="B55" s="51" t="s">
        <v>466</v>
      </c>
      <c r="C55" s="53">
        <v>0</v>
      </c>
      <c r="D55" s="53"/>
      <c r="E55" s="53">
        <f t="shared" si="0"/>
        <v>0</v>
      </c>
      <c r="F55" s="53"/>
      <c r="G55" s="53">
        <f t="shared" si="10"/>
        <v>0</v>
      </c>
      <c r="H55" s="53">
        <v>0</v>
      </c>
      <c r="I55" s="69">
        <f t="shared" si="11"/>
        <v>0</v>
      </c>
      <c r="J55" s="69"/>
      <c r="K55" s="53">
        <f t="shared" si="12"/>
        <v>0</v>
      </c>
      <c r="L55" s="176">
        <f t="shared" si="13"/>
        <v>0</v>
      </c>
    </row>
    <row r="56" spans="1:12" x14ac:dyDescent="0.3">
      <c r="A56" s="52" t="s">
        <v>1079</v>
      </c>
      <c r="B56" s="52" t="s">
        <v>140</v>
      </c>
      <c r="C56" s="53">
        <v>60000</v>
      </c>
      <c r="D56" s="53"/>
      <c r="E56" s="53">
        <f t="shared" si="0"/>
        <v>60000</v>
      </c>
      <c r="F56" s="53"/>
      <c r="G56" s="53">
        <f t="shared" si="10"/>
        <v>60000</v>
      </c>
      <c r="H56" s="53">
        <v>-60000</v>
      </c>
      <c r="I56" s="69">
        <f t="shared" si="11"/>
        <v>0</v>
      </c>
      <c r="J56" s="69">
        <v>70000</v>
      </c>
      <c r="K56" s="53">
        <f t="shared" si="12"/>
        <v>72940</v>
      </c>
      <c r="L56" s="176">
        <f t="shared" si="13"/>
        <v>76149.36</v>
      </c>
    </row>
    <row r="57" spans="1:12" x14ac:dyDescent="0.3">
      <c r="A57" s="52" t="s">
        <v>1082</v>
      </c>
      <c r="B57" s="52" t="s">
        <v>469</v>
      </c>
      <c r="C57" s="53">
        <v>350000</v>
      </c>
      <c r="D57" s="53"/>
      <c r="E57" s="53">
        <f t="shared" si="0"/>
        <v>350000</v>
      </c>
      <c r="F57" s="53"/>
      <c r="G57" s="53">
        <f t="shared" si="10"/>
        <v>350000</v>
      </c>
      <c r="H57" s="53">
        <v>-150000</v>
      </c>
      <c r="I57" s="69">
        <f t="shared" si="11"/>
        <v>200000</v>
      </c>
      <c r="J57" s="69">
        <v>350000</v>
      </c>
      <c r="K57" s="53">
        <f t="shared" si="12"/>
        <v>364700</v>
      </c>
      <c r="L57" s="176">
        <f t="shared" si="13"/>
        <v>380746.8</v>
      </c>
    </row>
    <row r="58" spans="1:12" x14ac:dyDescent="0.3">
      <c r="A58" s="52" t="s">
        <v>1081</v>
      </c>
      <c r="B58" s="52" t="s">
        <v>142</v>
      </c>
      <c r="C58" s="53">
        <v>20000</v>
      </c>
      <c r="D58" s="53"/>
      <c r="E58" s="53">
        <f t="shared" si="0"/>
        <v>20000</v>
      </c>
      <c r="F58" s="53"/>
      <c r="G58" s="53">
        <f t="shared" si="10"/>
        <v>20000</v>
      </c>
      <c r="H58" s="53">
        <v>-20000</v>
      </c>
      <c r="I58" s="69">
        <f t="shared" si="11"/>
        <v>0</v>
      </c>
      <c r="J58" s="69">
        <v>30000</v>
      </c>
      <c r="K58" s="53">
        <f t="shared" si="12"/>
        <v>31260</v>
      </c>
      <c r="L58" s="176">
        <f t="shared" si="13"/>
        <v>32635.440000000002</v>
      </c>
    </row>
    <row r="59" spans="1:12" x14ac:dyDescent="0.3">
      <c r="A59" s="52" t="s">
        <v>1083</v>
      </c>
      <c r="B59" s="52" t="s">
        <v>158</v>
      </c>
      <c r="C59" s="53">
        <v>80000</v>
      </c>
      <c r="D59" s="53"/>
      <c r="E59" s="53">
        <f t="shared" si="0"/>
        <v>80000</v>
      </c>
      <c r="F59" s="53"/>
      <c r="G59" s="53">
        <f t="shared" si="10"/>
        <v>80000</v>
      </c>
      <c r="H59" s="53">
        <v>-80000</v>
      </c>
      <c r="I59" s="69">
        <f t="shared" si="11"/>
        <v>0</v>
      </c>
      <c r="J59" s="69">
        <v>60000</v>
      </c>
      <c r="K59" s="53">
        <f t="shared" si="12"/>
        <v>62520</v>
      </c>
      <c r="L59" s="176">
        <f t="shared" si="13"/>
        <v>65270.880000000005</v>
      </c>
    </row>
    <row r="60" spans="1:12" x14ac:dyDescent="0.3">
      <c r="A60" s="52" t="s">
        <v>1080</v>
      </c>
      <c r="B60" s="52" t="s">
        <v>141</v>
      </c>
      <c r="C60" s="53">
        <v>20000</v>
      </c>
      <c r="D60" s="53"/>
      <c r="E60" s="53">
        <f t="shared" si="0"/>
        <v>20000</v>
      </c>
      <c r="F60" s="53"/>
      <c r="G60" s="53">
        <f t="shared" si="10"/>
        <v>20000</v>
      </c>
      <c r="H60" s="53">
        <v>-20000</v>
      </c>
      <c r="I60" s="69">
        <f t="shared" si="11"/>
        <v>0</v>
      </c>
      <c r="J60" s="69">
        <v>50000</v>
      </c>
      <c r="K60" s="53">
        <f t="shared" si="12"/>
        <v>52100</v>
      </c>
      <c r="L60" s="176">
        <f t="shared" si="13"/>
        <v>54392.4</v>
      </c>
    </row>
    <row r="61" spans="1:12" x14ac:dyDescent="0.3">
      <c r="A61" s="52" t="s">
        <v>1301</v>
      </c>
      <c r="B61" s="52" t="s">
        <v>1302</v>
      </c>
      <c r="C61" s="53"/>
      <c r="D61" s="53"/>
      <c r="E61" s="53"/>
      <c r="F61" s="53">
        <v>1500000</v>
      </c>
      <c r="G61" s="53">
        <f t="shared" si="10"/>
        <v>1500000</v>
      </c>
      <c r="H61" s="53"/>
      <c r="I61" s="69">
        <f t="shared" si="11"/>
        <v>1500000</v>
      </c>
      <c r="J61" s="69"/>
      <c r="K61" s="53">
        <f t="shared" si="12"/>
        <v>0</v>
      </c>
      <c r="L61" s="176">
        <f t="shared" si="13"/>
        <v>0</v>
      </c>
    </row>
    <row r="62" spans="1:12" x14ac:dyDescent="0.3">
      <c r="A62" s="52"/>
      <c r="B62" s="51" t="s">
        <v>467</v>
      </c>
      <c r="C62" s="53">
        <v>0</v>
      </c>
      <c r="D62" s="53"/>
      <c r="E62" s="53">
        <f t="shared" si="0"/>
        <v>0</v>
      </c>
      <c r="F62" s="53"/>
      <c r="G62" s="53">
        <f t="shared" si="10"/>
        <v>0</v>
      </c>
      <c r="H62" s="53"/>
      <c r="I62" s="69">
        <f t="shared" si="11"/>
        <v>0</v>
      </c>
      <c r="J62" s="69"/>
      <c r="K62" s="53">
        <f t="shared" si="12"/>
        <v>0</v>
      </c>
      <c r="L62" s="176">
        <f t="shared" si="13"/>
        <v>0</v>
      </c>
    </row>
    <row r="63" spans="1:12" x14ac:dyDescent="0.3">
      <c r="A63" s="52" t="s">
        <v>1086</v>
      </c>
      <c r="B63" s="52" t="s">
        <v>150</v>
      </c>
      <c r="C63" s="53">
        <v>60000</v>
      </c>
      <c r="D63" s="53"/>
      <c r="E63" s="53">
        <f t="shared" si="0"/>
        <v>60000</v>
      </c>
      <c r="F63" s="53"/>
      <c r="G63" s="53">
        <f t="shared" si="10"/>
        <v>60000</v>
      </c>
      <c r="H63" s="53">
        <v>-60000</v>
      </c>
      <c r="I63" s="69">
        <f t="shared" si="11"/>
        <v>0</v>
      </c>
      <c r="J63" s="69">
        <v>60000</v>
      </c>
      <c r="K63" s="53">
        <f t="shared" si="12"/>
        <v>62520</v>
      </c>
      <c r="L63" s="176">
        <f t="shared" si="13"/>
        <v>65270.880000000005</v>
      </c>
    </row>
    <row r="64" spans="1:12" x14ac:dyDescent="0.3">
      <c r="A64" s="52" t="s">
        <v>1088</v>
      </c>
      <c r="B64" s="52" t="s">
        <v>149</v>
      </c>
      <c r="C64" s="53">
        <v>30000</v>
      </c>
      <c r="D64" s="53"/>
      <c r="E64" s="53">
        <f t="shared" si="0"/>
        <v>30000</v>
      </c>
      <c r="F64" s="53"/>
      <c r="G64" s="53">
        <f t="shared" si="10"/>
        <v>30000</v>
      </c>
      <c r="H64" s="53">
        <v>-30000</v>
      </c>
      <c r="I64" s="69">
        <f t="shared" si="11"/>
        <v>0</v>
      </c>
      <c r="J64" s="69">
        <v>30000</v>
      </c>
      <c r="K64" s="53">
        <f t="shared" si="12"/>
        <v>31260</v>
      </c>
      <c r="L64" s="176">
        <f t="shared" si="13"/>
        <v>32635.440000000002</v>
      </c>
    </row>
    <row r="65" spans="1:14" x14ac:dyDescent="0.3">
      <c r="A65" s="52" t="s">
        <v>1089</v>
      </c>
      <c r="B65" s="52" t="s">
        <v>1084</v>
      </c>
      <c r="C65" s="53">
        <v>20000</v>
      </c>
      <c r="D65" s="53"/>
      <c r="E65" s="53">
        <f t="shared" si="0"/>
        <v>20000</v>
      </c>
      <c r="F65" s="53"/>
      <c r="G65" s="53">
        <f t="shared" si="10"/>
        <v>20000</v>
      </c>
      <c r="H65" s="53">
        <v>-20000</v>
      </c>
      <c r="I65" s="69">
        <f t="shared" si="11"/>
        <v>0</v>
      </c>
      <c r="J65" s="69">
        <v>30000</v>
      </c>
      <c r="K65" s="53">
        <f t="shared" si="12"/>
        <v>31260</v>
      </c>
      <c r="L65" s="176">
        <f t="shared" si="13"/>
        <v>32635.440000000002</v>
      </c>
    </row>
    <row r="66" spans="1:14" x14ac:dyDescent="0.3">
      <c r="A66" s="52" t="s">
        <v>1090</v>
      </c>
      <c r="B66" s="52" t="s">
        <v>161</v>
      </c>
      <c r="C66" s="53">
        <v>60000</v>
      </c>
      <c r="D66" s="53"/>
      <c r="E66" s="53">
        <f t="shared" si="0"/>
        <v>60000</v>
      </c>
      <c r="F66" s="53"/>
      <c r="G66" s="53">
        <f t="shared" si="10"/>
        <v>60000</v>
      </c>
      <c r="H66" s="53">
        <v>-60000</v>
      </c>
      <c r="I66" s="69">
        <f t="shared" si="11"/>
        <v>0</v>
      </c>
      <c r="J66" s="69">
        <v>60000</v>
      </c>
      <c r="K66" s="53">
        <f t="shared" si="12"/>
        <v>62520</v>
      </c>
      <c r="L66" s="176">
        <f t="shared" si="13"/>
        <v>65270.880000000005</v>
      </c>
      <c r="M66" s="210"/>
      <c r="N66" s="211"/>
    </row>
    <row r="67" spans="1:14" x14ac:dyDescent="0.3">
      <c r="A67" s="52" t="s">
        <v>1087</v>
      </c>
      <c r="B67" s="52" t="s">
        <v>151</v>
      </c>
      <c r="C67" s="53">
        <v>20000</v>
      </c>
      <c r="D67" s="53"/>
      <c r="E67" s="53">
        <f t="shared" si="0"/>
        <v>20000</v>
      </c>
      <c r="F67" s="53"/>
      <c r="G67" s="53">
        <f t="shared" si="10"/>
        <v>20000</v>
      </c>
      <c r="H67" s="53">
        <v>-20000</v>
      </c>
      <c r="I67" s="69">
        <f t="shared" si="11"/>
        <v>0</v>
      </c>
      <c r="J67" s="69">
        <v>30000</v>
      </c>
      <c r="K67" s="53">
        <f t="shared" si="12"/>
        <v>31260</v>
      </c>
      <c r="L67" s="176">
        <f t="shared" si="13"/>
        <v>32635.440000000002</v>
      </c>
    </row>
    <row r="68" spans="1:14" x14ac:dyDescent="0.3">
      <c r="A68" s="52"/>
      <c r="B68" s="51" t="s">
        <v>468</v>
      </c>
      <c r="C68" s="53">
        <v>0</v>
      </c>
      <c r="D68" s="53"/>
      <c r="E68" s="53">
        <f t="shared" si="0"/>
        <v>0</v>
      </c>
      <c r="F68" s="53"/>
      <c r="G68" s="53">
        <f t="shared" si="10"/>
        <v>0</v>
      </c>
      <c r="H68" s="53">
        <v>0</v>
      </c>
      <c r="I68" s="69">
        <f t="shared" si="11"/>
        <v>0</v>
      </c>
      <c r="J68" s="69"/>
      <c r="K68" s="53">
        <f t="shared" si="12"/>
        <v>0</v>
      </c>
      <c r="L68" s="176">
        <f t="shared" si="13"/>
        <v>0</v>
      </c>
    </row>
    <row r="69" spans="1:14" x14ac:dyDescent="0.3">
      <c r="A69" s="52" t="s">
        <v>1091</v>
      </c>
      <c r="B69" s="52" t="s">
        <v>601</v>
      </c>
      <c r="C69" s="53">
        <v>40000</v>
      </c>
      <c r="D69" s="53"/>
      <c r="E69" s="53">
        <f t="shared" si="0"/>
        <v>40000</v>
      </c>
      <c r="F69" s="53"/>
      <c r="G69" s="53">
        <f t="shared" si="10"/>
        <v>40000</v>
      </c>
      <c r="H69" s="53">
        <v>-40000</v>
      </c>
      <c r="I69" s="69">
        <f t="shared" si="11"/>
        <v>0</v>
      </c>
      <c r="J69" s="69">
        <v>50000</v>
      </c>
      <c r="K69" s="53">
        <f t="shared" si="12"/>
        <v>52100</v>
      </c>
      <c r="L69" s="176">
        <f t="shared" si="13"/>
        <v>54392.4</v>
      </c>
    </row>
    <row r="70" spans="1:14" x14ac:dyDescent="0.3">
      <c r="A70" s="52" t="s">
        <v>1094</v>
      </c>
      <c r="B70" s="52" t="s">
        <v>1085</v>
      </c>
      <c r="C70" s="53">
        <v>30000</v>
      </c>
      <c r="D70" s="53"/>
      <c r="E70" s="53">
        <f t="shared" si="0"/>
        <v>30000</v>
      </c>
      <c r="F70" s="53"/>
      <c r="G70" s="53">
        <f t="shared" si="10"/>
        <v>30000</v>
      </c>
      <c r="H70" s="53">
        <v>-30000</v>
      </c>
      <c r="I70" s="69">
        <f t="shared" si="11"/>
        <v>0</v>
      </c>
      <c r="J70" s="69">
        <v>30000</v>
      </c>
      <c r="K70" s="53">
        <f t="shared" si="12"/>
        <v>31260</v>
      </c>
      <c r="L70" s="176">
        <f t="shared" si="13"/>
        <v>32635.440000000002</v>
      </c>
    </row>
    <row r="71" spans="1:14" x14ac:dyDescent="0.3">
      <c r="A71" s="52" t="s">
        <v>1092</v>
      </c>
      <c r="B71" s="52" t="s">
        <v>600</v>
      </c>
      <c r="C71" s="53">
        <v>40000</v>
      </c>
      <c r="D71" s="53"/>
      <c r="E71" s="53">
        <f t="shared" si="0"/>
        <v>40000</v>
      </c>
      <c r="F71" s="53"/>
      <c r="G71" s="53">
        <f t="shared" si="10"/>
        <v>40000</v>
      </c>
      <c r="H71" s="53">
        <v>-40000</v>
      </c>
      <c r="I71" s="69">
        <f t="shared" si="11"/>
        <v>0</v>
      </c>
      <c r="J71" s="69">
        <v>60000</v>
      </c>
      <c r="K71" s="53">
        <f t="shared" si="12"/>
        <v>62520</v>
      </c>
      <c r="L71" s="176">
        <f t="shared" si="13"/>
        <v>65270.880000000005</v>
      </c>
    </row>
    <row r="72" spans="1:14" x14ac:dyDescent="0.3">
      <c r="A72" s="52" t="s">
        <v>1093</v>
      </c>
      <c r="B72" s="52" t="s">
        <v>602</v>
      </c>
      <c r="C72" s="53">
        <v>20000</v>
      </c>
      <c r="D72" s="53"/>
      <c r="E72" s="53">
        <f t="shared" si="0"/>
        <v>20000</v>
      </c>
      <c r="F72" s="53"/>
      <c r="G72" s="53">
        <f t="shared" si="10"/>
        <v>20000</v>
      </c>
      <c r="H72" s="53">
        <v>-20000</v>
      </c>
      <c r="I72" s="69">
        <f t="shared" si="11"/>
        <v>0</v>
      </c>
      <c r="J72" s="69">
        <v>30000</v>
      </c>
      <c r="K72" s="53">
        <f t="shared" si="12"/>
        <v>31260</v>
      </c>
      <c r="L72" s="176">
        <f t="shared" si="13"/>
        <v>32635.440000000002</v>
      </c>
    </row>
    <row r="73" spans="1:14" x14ac:dyDescent="0.3">
      <c r="A73" s="52" t="s">
        <v>1095</v>
      </c>
      <c r="B73" s="52" t="s">
        <v>159</v>
      </c>
      <c r="C73" s="53">
        <v>50000</v>
      </c>
      <c r="D73" s="53"/>
      <c r="E73" s="53">
        <f t="shared" si="0"/>
        <v>50000</v>
      </c>
      <c r="F73" s="53"/>
      <c r="G73" s="53">
        <f t="shared" si="10"/>
        <v>50000</v>
      </c>
      <c r="H73" s="53">
        <v>-50000</v>
      </c>
      <c r="I73" s="69">
        <f t="shared" si="11"/>
        <v>0</v>
      </c>
      <c r="J73" s="69">
        <v>30000</v>
      </c>
      <c r="K73" s="53">
        <f t="shared" si="12"/>
        <v>31260</v>
      </c>
      <c r="L73" s="176">
        <f t="shared" si="13"/>
        <v>32635.440000000002</v>
      </c>
    </row>
    <row r="74" spans="1:14" x14ac:dyDescent="0.3">
      <c r="A74" s="56"/>
      <c r="B74" s="55" t="s">
        <v>703</v>
      </c>
      <c r="C74" s="53"/>
      <c r="D74" s="53"/>
      <c r="E74" s="53">
        <f t="shared" si="0"/>
        <v>0</v>
      </c>
      <c r="F74" s="53"/>
      <c r="G74" s="53">
        <f t="shared" si="10"/>
        <v>0</v>
      </c>
      <c r="H74" s="53">
        <v>0</v>
      </c>
      <c r="I74" s="69">
        <f t="shared" si="11"/>
        <v>0</v>
      </c>
      <c r="J74" s="69"/>
      <c r="K74" s="53">
        <f t="shared" si="12"/>
        <v>0</v>
      </c>
      <c r="L74" s="176">
        <f t="shared" si="13"/>
        <v>0</v>
      </c>
    </row>
    <row r="75" spans="1:14" x14ac:dyDescent="0.3">
      <c r="A75" s="56" t="s">
        <v>1096</v>
      </c>
      <c r="B75" s="56" t="s">
        <v>704</v>
      </c>
      <c r="C75" s="53">
        <v>100000</v>
      </c>
      <c r="D75" s="53"/>
      <c r="E75" s="53">
        <f t="shared" ref="E75:E147" si="14">C75+D75</f>
        <v>100000</v>
      </c>
      <c r="F75" s="53"/>
      <c r="G75" s="53">
        <f t="shared" si="10"/>
        <v>100000</v>
      </c>
      <c r="H75" s="53">
        <v>-86400</v>
      </c>
      <c r="I75" s="69">
        <f t="shared" si="11"/>
        <v>13600</v>
      </c>
      <c r="J75" s="69">
        <v>60000</v>
      </c>
      <c r="K75" s="53">
        <f t="shared" si="12"/>
        <v>62520</v>
      </c>
      <c r="L75" s="176">
        <f t="shared" si="13"/>
        <v>65270.880000000005</v>
      </c>
    </row>
    <row r="76" spans="1:14" x14ac:dyDescent="0.3">
      <c r="A76" s="56" t="s">
        <v>1099</v>
      </c>
      <c r="B76" s="56" t="s">
        <v>1100</v>
      </c>
      <c r="C76" s="53">
        <v>80000</v>
      </c>
      <c r="D76" s="53"/>
      <c r="E76" s="53">
        <f t="shared" si="14"/>
        <v>80000</v>
      </c>
      <c r="F76" s="53"/>
      <c r="G76" s="53">
        <f t="shared" ref="G76:G107" si="15">E76+F76</f>
        <v>80000</v>
      </c>
      <c r="H76" s="53">
        <v>-350</v>
      </c>
      <c r="I76" s="69">
        <f t="shared" ref="I76:I107" si="16">G76+H76</f>
        <v>79650</v>
      </c>
      <c r="J76" s="69">
        <v>90000</v>
      </c>
      <c r="K76" s="53">
        <f t="shared" ref="K76:K107" si="17">J76*104.2%</f>
        <v>93780</v>
      </c>
      <c r="L76" s="176">
        <f t="shared" ref="L76:L107" si="18">K76*104.4%</f>
        <v>97906.32</v>
      </c>
    </row>
    <row r="77" spans="1:14" x14ac:dyDescent="0.3">
      <c r="A77" s="56" t="s">
        <v>1098</v>
      </c>
      <c r="B77" s="56" t="s">
        <v>705</v>
      </c>
      <c r="C77" s="53">
        <v>35000</v>
      </c>
      <c r="D77" s="53"/>
      <c r="E77" s="53">
        <f t="shared" si="14"/>
        <v>35000</v>
      </c>
      <c r="F77" s="53"/>
      <c r="G77" s="53">
        <f t="shared" si="15"/>
        <v>35000</v>
      </c>
      <c r="H77" s="53">
        <v>-29000</v>
      </c>
      <c r="I77" s="69">
        <f t="shared" si="16"/>
        <v>6000</v>
      </c>
      <c r="J77" s="69">
        <v>29000</v>
      </c>
      <c r="K77" s="53">
        <f t="shared" si="17"/>
        <v>30218</v>
      </c>
      <c r="L77" s="176">
        <f t="shared" si="18"/>
        <v>31547.592000000001</v>
      </c>
    </row>
    <row r="78" spans="1:14" x14ac:dyDescent="0.3">
      <c r="A78" s="56" t="s">
        <v>1101</v>
      </c>
      <c r="B78" s="56" t="s">
        <v>706</v>
      </c>
      <c r="C78" s="53">
        <v>30000</v>
      </c>
      <c r="D78" s="53"/>
      <c r="E78" s="53">
        <f t="shared" si="14"/>
        <v>30000</v>
      </c>
      <c r="F78" s="53"/>
      <c r="G78" s="53">
        <f t="shared" si="15"/>
        <v>30000</v>
      </c>
      <c r="H78" s="53">
        <v>-30000</v>
      </c>
      <c r="I78" s="69">
        <f t="shared" si="16"/>
        <v>0</v>
      </c>
      <c r="J78" s="69">
        <v>40000</v>
      </c>
      <c r="K78" s="53">
        <f t="shared" si="17"/>
        <v>41680</v>
      </c>
      <c r="L78" s="176">
        <f t="shared" si="18"/>
        <v>43513.919999999998</v>
      </c>
    </row>
    <row r="79" spans="1:14" x14ac:dyDescent="0.3">
      <c r="A79" s="56" t="s">
        <v>1097</v>
      </c>
      <c r="B79" s="56" t="s">
        <v>707</v>
      </c>
      <c r="C79" s="53">
        <v>12000</v>
      </c>
      <c r="D79" s="53"/>
      <c r="E79" s="53">
        <f t="shared" si="14"/>
        <v>12000</v>
      </c>
      <c r="F79" s="53"/>
      <c r="G79" s="53">
        <f t="shared" si="15"/>
        <v>12000</v>
      </c>
      <c r="H79" s="53">
        <v>22000</v>
      </c>
      <c r="I79" s="69">
        <f t="shared" si="16"/>
        <v>34000</v>
      </c>
      <c r="J79" s="69">
        <v>60000</v>
      </c>
      <c r="K79" s="53">
        <f t="shared" si="17"/>
        <v>62520</v>
      </c>
      <c r="L79" s="176">
        <f t="shared" si="18"/>
        <v>65270.880000000005</v>
      </c>
    </row>
    <row r="80" spans="1:14" x14ac:dyDescent="0.3">
      <c r="A80" s="52"/>
      <c r="B80" s="51" t="s">
        <v>557</v>
      </c>
      <c r="C80" s="53">
        <v>0</v>
      </c>
      <c r="D80" s="53"/>
      <c r="E80" s="53">
        <f t="shared" si="14"/>
        <v>0</v>
      </c>
      <c r="F80" s="53"/>
      <c r="G80" s="53">
        <f t="shared" si="15"/>
        <v>0</v>
      </c>
      <c r="H80" s="53">
        <v>0</v>
      </c>
      <c r="I80" s="69">
        <f t="shared" si="16"/>
        <v>0</v>
      </c>
      <c r="J80" s="69"/>
      <c r="K80" s="53">
        <f t="shared" si="17"/>
        <v>0</v>
      </c>
      <c r="L80" s="176">
        <f t="shared" si="18"/>
        <v>0</v>
      </c>
    </row>
    <row r="81" spans="1:12" x14ac:dyDescent="0.3">
      <c r="A81" s="52" t="s">
        <v>1102</v>
      </c>
      <c r="B81" s="52" t="s">
        <v>604</v>
      </c>
      <c r="C81" s="53">
        <v>200000</v>
      </c>
      <c r="D81" s="53"/>
      <c r="E81" s="53">
        <f t="shared" si="14"/>
        <v>200000</v>
      </c>
      <c r="F81" s="53"/>
      <c r="G81" s="53">
        <f t="shared" si="15"/>
        <v>200000</v>
      </c>
      <c r="H81" s="53">
        <v>-200000</v>
      </c>
      <c r="I81" s="69">
        <f t="shared" si="16"/>
        <v>0</v>
      </c>
      <c r="J81" s="69">
        <v>200000</v>
      </c>
      <c r="K81" s="53">
        <f t="shared" si="17"/>
        <v>208400</v>
      </c>
      <c r="L81" s="176">
        <f t="shared" si="18"/>
        <v>217569.6</v>
      </c>
    </row>
    <row r="82" spans="1:12" x14ac:dyDescent="0.3">
      <c r="A82" s="52" t="s">
        <v>1108</v>
      </c>
      <c r="B82" s="52" t="s">
        <v>605</v>
      </c>
      <c r="C82" s="53">
        <v>30000</v>
      </c>
      <c r="D82" s="53"/>
      <c r="E82" s="53">
        <f t="shared" si="14"/>
        <v>30000</v>
      </c>
      <c r="F82" s="53"/>
      <c r="G82" s="53">
        <f t="shared" si="15"/>
        <v>30000</v>
      </c>
      <c r="H82" s="53">
        <v>-30000</v>
      </c>
      <c r="I82" s="69">
        <f t="shared" si="16"/>
        <v>0</v>
      </c>
      <c r="J82" s="69">
        <v>30000</v>
      </c>
      <c r="K82" s="53">
        <f t="shared" si="17"/>
        <v>31260</v>
      </c>
      <c r="L82" s="176">
        <f t="shared" si="18"/>
        <v>32635.440000000002</v>
      </c>
    </row>
    <row r="83" spans="1:12" x14ac:dyDescent="0.3">
      <c r="A83" s="52" t="s">
        <v>1107</v>
      </c>
      <c r="B83" s="52" t="s">
        <v>1106</v>
      </c>
      <c r="C83" s="53">
        <v>20000</v>
      </c>
      <c r="D83" s="53"/>
      <c r="E83" s="53">
        <f t="shared" si="14"/>
        <v>20000</v>
      </c>
      <c r="F83" s="53"/>
      <c r="G83" s="53">
        <f t="shared" si="15"/>
        <v>20000</v>
      </c>
      <c r="H83" s="53">
        <v>-20000</v>
      </c>
      <c r="I83" s="69">
        <f t="shared" si="16"/>
        <v>0</v>
      </c>
      <c r="J83" s="69">
        <v>30000</v>
      </c>
      <c r="K83" s="53">
        <f t="shared" si="17"/>
        <v>31260</v>
      </c>
      <c r="L83" s="176">
        <f t="shared" si="18"/>
        <v>32635.440000000002</v>
      </c>
    </row>
    <row r="84" spans="1:12" x14ac:dyDescent="0.3">
      <c r="A84" s="52" t="s">
        <v>1104</v>
      </c>
      <c r="B84" s="52" t="s">
        <v>606</v>
      </c>
      <c r="C84" s="53">
        <v>60000</v>
      </c>
      <c r="D84" s="53"/>
      <c r="E84" s="53">
        <f t="shared" si="14"/>
        <v>60000</v>
      </c>
      <c r="F84" s="53"/>
      <c r="G84" s="53">
        <f t="shared" si="15"/>
        <v>60000</v>
      </c>
      <c r="H84" s="53">
        <v>-60000</v>
      </c>
      <c r="I84" s="69">
        <f t="shared" si="16"/>
        <v>0</v>
      </c>
      <c r="J84" s="69">
        <v>60000</v>
      </c>
      <c r="K84" s="53">
        <f t="shared" si="17"/>
        <v>62520</v>
      </c>
      <c r="L84" s="176">
        <f t="shared" si="18"/>
        <v>65270.880000000005</v>
      </c>
    </row>
    <row r="85" spans="1:12" x14ac:dyDescent="0.3">
      <c r="A85" s="52" t="s">
        <v>1105</v>
      </c>
      <c r="B85" s="52" t="s">
        <v>607</v>
      </c>
      <c r="C85" s="53">
        <v>120000</v>
      </c>
      <c r="D85" s="53"/>
      <c r="E85" s="53">
        <f t="shared" si="14"/>
        <v>120000</v>
      </c>
      <c r="F85" s="53"/>
      <c r="G85" s="53">
        <f t="shared" si="15"/>
        <v>120000</v>
      </c>
      <c r="H85" s="53">
        <f>(-20000-50000)-50000</f>
        <v>-120000</v>
      </c>
      <c r="I85" s="69">
        <f t="shared" si="16"/>
        <v>0</v>
      </c>
      <c r="J85" s="69">
        <v>120000</v>
      </c>
      <c r="K85" s="53">
        <f t="shared" si="17"/>
        <v>125040</v>
      </c>
      <c r="L85" s="176">
        <f t="shared" si="18"/>
        <v>130541.76000000001</v>
      </c>
    </row>
    <row r="86" spans="1:12" x14ac:dyDescent="0.3">
      <c r="A86" s="52" t="s">
        <v>1103</v>
      </c>
      <c r="B86" s="52" t="s">
        <v>608</v>
      </c>
      <c r="C86" s="53">
        <v>100000</v>
      </c>
      <c r="D86" s="53"/>
      <c r="E86" s="53">
        <f t="shared" si="14"/>
        <v>100000</v>
      </c>
      <c r="F86" s="53"/>
      <c r="G86" s="53">
        <f t="shared" si="15"/>
        <v>100000</v>
      </c>
      <c r="H86" s="53">
        <v>-100000</v>
      </c>
      <c r="I86" s="69">
        <f t="shared" si="16"/>
        <v>0</v>
      </c>
      <c r="J86" s="69">
        <v>80000</v>
      </c>
      <c r="K86" s="53">
        <f t="shared" si="17"/>
        <v>83360</v>
      </c>
      <c r="L86" s="176">
        <f t="shared" si="18"/>
        <v>87027.839999999997</v>
      </c>
    </row>
    <row r="87" spans="1:12" x14ac:dyDescent="0.3">
      <c r="A87" s="52"/>
      <c r="B87" s="51" t="s">
        <v>708</v>
      </c>
      <c r="C87" s="53"/>
      <c r="D87" s="53"/>
      <c r="E87" s="53">
        <f t="shared" si="14"/>
        <v>0</v>
      </c>
      <c r="F87" s="53"/>
      <c r="G87" s="53">
        <f t="shared" si="15"/>
        <v>0</v>
      </c>
      <c r="H87" s="53">
        <v>0</v>
      </c>
      <c r="I87" s="69">
        <f t="shared" si="16"/>
        <v>0</v>
      </c>
      <c r="J87" s="69"/>
      <c r="K87" s="53">
        <f t="shared" si="17"/>
        <v>0</v>
      </c>
      <c r="L87" s="176">
        <f t="shared" si="18"/>
        <v>0</v>
      </c>
    </row>
    <row r="88" spans="1:12" x14ac:dyDescent="0.3">
      <c r="A88" s="52" t="s">
        <v>1109</v>
      </c>
      <c r="B88" s="52" t="s">
        <v>1115</v>
      </c>
      <c r="C88" s="53">
        <v>70000</v>
      </c>
      <c r="D88" s="53"/>
      <c r="E88" s="53">
        <f t="shared" si="14"/>
        <v>70000</v>
      </c>
      <c r="F88" s="53"/>
      <c r="G88" s="53">
        <f t="shared" si="15"/>
        <v>70000</v>
      </c>
      <c r="H88" s="53">
        <v>-70000</v>
      </c>
      <c r="I88" s="69">
        <f t="shared" si="16"/>
        <v>0</v>
      </c>
      <c r="J88" s="69">
        <v>70000</v>
      </c>
      <c r="K88" s="53">
        <f t="shared" si="17"/>
        <v>72940</v>
      </c>
      <c r="L88" s="176">
        <f t="shared" si="18"/>
        <v>76149.36</v>
      </c>
    </row>
    <row r="89" spans="1:12" x14ac:dyDescent="0.3">
      <c r="A89" s="52" t="s">
        <v>1110</v>
      </c>
      <c r="B89" s="52" t="s">
        <v>1114</v>
      </c>
      <c r="C89" s="53">
        <v>40000</v>
      </c>
      <c r="D89" s="53"/>
      <c r="E89" s="53">
        <f t="shared" si="14"/>
        <v>40000</v>
      </c>
      <c r="F89" s="53"/>
      <c r="G89" s="53">
        <f t="shared" si="15"/>
        <v>40000</v>
      </c>
      <c r="H89" s="53">
        <v>-40000</v>
      </c>
      <c r="I89" s="69">
        <f t="shared" si="16"/>
        <v>0</v>
      </c>
      <c r="J89" s="69">
        <v>50000</v>
      </c>
      <c r="K89" s="53">
        <f t="shared" si="17"/>
        <v>52100</v>
      </c>
      <c r="L89" s="176">
        <f t="shared" si="18"/>
        <v>54392.4</v>
      </c>
    </row>
    <row r="90" spans="1:12" x14ac:dyDescent="0.3">
      <c r="A90" s="52" t="s">
        <v>1116</v>
      </c>
      <c r="B90" s="52" t="s">
        <v>1113</v>
      </c>
      <c r="C90" s="53">
        <v>30000</v>
      </c>
      <c r="D90" s="53"/>
      <c r="E90" s="53">
        <f t="shared" si="14"/>
        <v>30000</v>
      </c>
      <c r="F90" s="53"/>
      <c r="G90" s="53">
        <f t="shared" si="15"/>
        <v>30000</v>
      </c>
      <c r="H90" s="53">
        <v>-30000</v>
      </c>
      <c r="I90" s="69">
        <f t="shared" si="16"/>
        <v>0</v>
      </c>
      <c r="J90" s="69">
        <v>30000</v>
      </c>
      <c r="K90" s="53">
        <f t="shared" si="17"/>
        <v>31260</v>
      </c>
      <c r="L90" s="176">
        <f t="shared" si="18"/>
        <v>32635.440000000002</v>
      </c>
    </row>
    <row r="91" spans="1:12" x14ac:dyDescent="0.3">
      <c r="A91" s="52" t="s">
        <v>1111</v>
      </c>
      <c r="B91" s="52" t="s">
        <v>1112</v>
      </c>
      <c r="C91" s="53">
        <v>20000</v>
      </c>
      <c r="D91" s="53"/>
      <c r="E91" s="53">
        <f t="shared" si="14"/>
        <v>20000</v>
      </c>
      <c r="F91" s="53"/>
      <c r="G91" s="53">
        <f t="shared" si="15"/>
        <v>20000</v>
      </c>
      <c r="H91" s="53">
        <v>-20000</v>
      </c>
      <c r="I91" s="69">
        <f t="shared" si="16"/>
        <v>0</v>
      </c>
      <c r="J91" s="69">
        <v>30000</v>
      </c>
      <c r="K91" s="53">
        <f t="shared" si="17"/>
        <v>31260</v>
      </c>
      <c r="L91" s="176">
        <f t="shared" si="18"/>
        <v>32635.440000000002</v>
      </c>
    </row>
    <row r="92" spans="1:12" x14ac:dyDescent="0.3">
      <c r="A92" s="52"/>
      <c r="B92" s="51" t="s">
        <v>487</v>
      </c>
      <c r="C92" s="53">
        <v>0</v>
      </c>
      <c r="D92" s="53"/>
      <c r="E92" s="53">
        <f t="shared" si="14"/>
        <v>0</v>
      </c>
      <c r="F92" s="53"/>
      <c r="G92" s="53">
        <f t="shared" si="15"/>
        <v>0</v>
      </c>
      <c r="H92" s="53">
        <v>0</v>
      </c>
      <c r="I92" s="69">
        <f t="shared" si="16"/>
        <v>0</v>
      </c>
      <c r="J92" s="69"/>
      <c r="K92" s="53">
        <f t="shared" si="17"/>
        <v>0</v>
      </c>
      <c r="L92" s="176">
        <f t="shared" si="18"/>
        <v>0</v>
      </c>
    </row>
    <row r="93" spans="1:12" x14ac:dyDescent="0.3">
      <c r="A93" s="52" t="s">
        <v>1117</v>
      </c>
      <c r="B93" s="52" t="s">
        <v>1118</v>
      </c>
      <c r="C93" s="53">
        <v>120000</v>
      </c>
      <c r="D93" s="53"/>
      <c r="E93" s="53">
        <f t="shared" si="14"/>
        <v>120000</v>
      </c>
      <c r="F93" s="53"/>
      <c r="G93" s="53">
        <f t="shared" si="15"/>
        <v>120000</v>
      </c>
      <c r="H93" s="53">
        <v>-89400</v>
      </c>
      <c r="I93" s="69">
        <f t="shared" si="16"/>
        <v>30600</v>
      </c>
      <c r="J93" s="69">
        <v>120000</v>
      </c>
      <c r="K93" s="53">
        <f t="shared" si="17"/>
        <v>125040</v>
      </c>
      <c r="L93" s="176">
        <f t="shared" si="18"/>
        <v>130541.76000000001</v>
      </c>
    </row>
    <row r="94" spans="1:12" x14ac:dyDescent="0.3">
      <c r="A94" s="52" t="s">
        <v>1124</v>
      </c>
      <c r="B94" s="52" t="s">
        <v>1119</v>
      </c>
      <c r="C94" s="53">
        <v>80000</v>
      </c>
      <c r="D94" s="53"/>
      <c r="E94" s="53">
        <f t="shared" si="14"/>
        <v>80000</v>
      </c>
      <c r="F94" s="53"/>
      <c r="G94" s="53">
        <f t="shared" si="15"/>
        <v>80000</v>
      </c>
      <c r="H94" s="53">
        <v>-50130</v>
      </c>
      <c r="I94" s="69">
        <f t="shared" si="16"/>
        <v>29870</v>
      </c>
      <c r="J94" s="69">
        <v>70000</v>
      </c>
      <c r="K94" s="53">
        <f t="shared" si="17"/>
        <v>72940</v>
      </c>
      <c r="L94" s="176">
        <f t="shared" si="18"/>
        <v>76149.36</v>
      </c>
    </row>
    <row r="95" spans="1:12" x14ac:dyDescent="0.3">
      <c r="A95" s="52" t="s">
        <v>1123</v>
      </c>
      <c r="B95" s="52" t="s">
        <v>1120</v>
      </c>
      <c r="C95" s="53">
        <v>30000</v>
      </c>
      <c r="D95" s="53"/>
      <c r="E95" s="53">
        <f t="shared" si="14"/>
        <v>30000</v>
      </c>
      <c r="F95" s="53"/>
      <c r="G95" s="53">
        <f t="shared" si="15"/>
        <v>30000</v>
      </c>
      <c r="H95" s="53">
        <v>-23000</v>
      </c>
      <c r="I95" s="69">
        <f t="shared" si="16"/>
        <v>7000</v>
      </c>
      <c r="J95" s="69">
        <v>30000</v>
      </c>
      <c r="K95" s="53">
        <f t="shared" si="17"/>
        <v>31260</v>
      </c>
      <c r="L95" s="176">
        <f t="shared" si="18"/>
        <v>32635.440000000002</v>
      </c>
    </row>
    <row r="96" spans="1:12" x14ac:dyDescent="0.3">
      <c r="A96" s="52" t="s">
        <v>1122</v>
      </c>
      <c r="B96" s="52" t="s">
        <v>1121</v>
      </c>
      <c r="C96" s="53">
        <v>80000</v>
      </c>
      <c r="D96" s="53"/>
      <c r="E96" s="53">
        <f t="shared" si="14"/>
        <v>80000</v>
      </c>
      <c r="F96" s="53"/>
      <c r="G96" s="53">
        <f t="shared" si="15"/>
        <v>80000</v>
      </c>
      <c r="H96" s="53">
        <v>-51000</v>
      </c>
      <c r="I96" s="69">
        <f t="shared" si="16"/>
        <v>29000</v>
      </c>
      <c r="J96" s="69">
        <v>80000</v>
      </c>
      <c r="K96" s="53">
        <f t="shared" si="17"/>
        <v>83360</v>
      </c>
      <c r="L96" s="176">
        <f t="shared" si="18"/>
        <v>87027.839999999997</v>
      </c>
    </row>
    <row r="97" spans="1:12" x14ac:dyDescent="0.3">
      <c r="A97" s="52"/>
      <c r="B97" s="51" t="s">
        <v>709</v>
      </c>
      <c r="C97" s="53"/>
      <c r="D97" s="53"/>
      <c r="E97" s="53">
        <f t="shared" si="14"/>
        <v>0</v>
      </c>
      <c r="F97" s="53"/>
      <c r="G97" s="53">
        <f t="shared" si="15"/>
        <v>0</v>
      </c>
      <c r="H97" s="53">
        <v>0</v>
      </c>
      <c r="I97" s="69">
        <f t="shared" si="16"/>
        <v>0</v>
      </c>
      <c r="J97" s="69"/>
      <c r="K97" s="53">
        <f t="shared" si="17"/>
        <v>0</v>
      </c>
      <c r="L97" s="176">
        <f t="shared" si="18"/>
        <v>0</v>
      </c>
    </row>
    <row r="98" spans="1:12" x14ac:dyDescent="0.3">
      <c r="A98" s="52" t="s">
        <v>1125</v>
      </c>
      <c r="B98" s="52" t="s">
        <v>1126</v>
      </c>
      <c r="C98" s="53">
        <v>30000</v>
      </c>
      <c r="D98" s="53"/>
      <c r="E98" s="53">
        <f t="shared" si="14"/>
        <v>30000</v>
      </c>
      <c r="F98" s="53"/>
      <c r="G98" s="53">
        <f t="shared" si="15"/>
        <v>30000</v>
      </c>
      <c r="H98" s="53">
        <v>-28200</v>
      </c>
      <c r="I98" s="69">
        <f t="shared" si="16"/>
        <v>1800</v>
      </c>
      <c r="J98" s="69">
        <v>30000</v>
      </c>
      <c r="K98" s="53">
        <f t="shared" si="17"/>
        <v>31260</v>
      </c>
      <c r="L98" s="176">
        <f t="shared" si="18"/>
        <v>32635.440000000002</v>
      </c>
    </row>
    <row r="99" spans="1:12" x14ac:dyDescent="0.3">
      <c r="A99" s="52" t="s">
        <v>1127</v>
      </c>
      <c r="B99" s="52" t="s">
        <v>1128</v>
      </c>
      <c r="C99" s="53">
        <v>10000</v>
      </c>
      <c r="D99" s="53"/>
      <c r="E99" s="53">
        <f t="shared" si="14"/>
        <v>10000</v>
      </c>
      <c r="F99" s="53"/>
      <c r="G99" s="53">
        <f t="shared" si="15"/>
        <v>10000</v>
      </c>
      <c r="H99" s="53">
        <v>-10000</v>
      </c>
      <c r="I99" s="69">
        <f t="shared" si="16"/>
        <v>0</v>
      </c>
      <c r="J99" s="69">
        <v>15000</v>
      </c>
      <c r="K99" s="53">
        <f t="shared" si="17"/>
        <v>15630</v>
      </c>
      <c r="L99" s="176">
        <f t="shared" si="18"/>
        <v>16317.720000000001</v>
      </c>
    </row>
    <row r="100" spans="1:12" x14ac:dyDescent="0.3">
      <c r="A100" s="52"/>
      <c r="B100" s="51" t="s">
        <v>710</v>
      </c>
      <c r="C100" s="53"/>
      <c r="D100" s="53"/>
      <c r="E100" s="53">
        <f t="shared" si="14"/>
        <v>0</v>
      </c>
      <c r="F100" s="53"/>
      <c r="G100" s="53">
        <f t="shared" si="15"/>
        <v>0</v>
      </c>
      <c r="H100" s="53">
        <v>0</v>
      </c>
      <c r="I100" s="69">
        <f t="shared" si="16"/>
        <v>0</v>
      </c>
      <c r="J100" s="69"/>
      <c r="K100" s="53">
        <f t="shared" si="17"/>
        <v>0</v>
      </c>
      <c r="L100" s="176">
        <f t="shared" si="18"/>
        <v>0</v>
      </c>
    </row>
    <row r="101" spans="1:12" x14ac:dyDescent="0.3">
      <c r="A101" s="52" t="s">
        <v>1129</v>
      </c>
      <c r="B101" s="52" t="s">
        <v>1130</v>
      </c>
      <c r="C101" s="53">
        <v>50000</v>
      </c>
      <c r="D101" s="53"/>
      <c r="E101" s="53">
        <f t="shared" si="14"/>
        <v>50000</v>
      </c>
      <c r="F101" s="53"/>
      <c r="G101" s="53">
        <f t="shared" si="15"/>
        <v>50000</v>
      </c>
      <c r="H101" s="53">
        <f>(5000-580)-0</f>
        <v>4420</v>
      </c>
      <c r="I101" s="69">
        <f t="shared" si="16"/>
        <v>54420</v>
      </c>
      <c r="J101" s="69">
        <v>50000</v>
      </c>
      <c r="K101" s="53">
        <f t="shared" si="17"/>
        <v>52100</v>
      </c>
      <c r="L101" s="176">
        <f t="shared" si="18"/>
        <v>54392.4</v>
      </c>
    </row>
    <row r="102" spans="1:12" x14ac:dyDescent="0.3">
      <c r="A102" s="52" t="s">
        <v>1136</v>
      </c>
      <c r="B102" s="52" t="s">
        <v>1131</v>
      </c>
      <c r="C102" s="53">
        <v>30000</v>
      </c>
      <c r="D102" s="53"/>
      <c r="E102" s="53">
        <f t="shared" si="14"/>
        <v>30000</v>
      </c>
      <c r="F102" s="53"/>
      <c r="G102" s="53">
        <f t="shared" si="15"/>
        <v>30000</v>
      </c>
      <c r="H102" s="53">
        <v>-100</v>
      </c>
      <c r="I102" s="69">
        <f t="shared" si="16"/>
        <v>29900</v>
      </c>
      <c r="J102" s="69">
        <v>30000</v>
      </c>
      <c r="K102" s="53">
        <f t="shared" si="17"/>
        <v>31260</v>
      </c>
      <c r="L102" s="176">
        <f t="shared" si="18"/>
        <v>32635.440000000002</v>
      </c>
    </row>
    <row r="103" spans="1:12" x14ac:dyDescent="0.3">
      <c r="A103" s="52" t="s">
        <v>1135</v>
      </c>
      <c r="B103" s="52" t="s">
        <v>1132</v>
      </c>
      <c r="C103" s="53">
        <v>20000</v>
      </c>
      <c r="D103" s="53"/>
      <c r="E103" s="53">
        <f t="shared" si="14"/>
        <v>20000</v>
      </c>
      <c r="F103" s="53"/>
      <c r="G103" s="53">
        <f t="shared" si="15"/>
        <v>20000</v>
      </c>
      <c r="H103" s="53">
        <f>(-5000-8000)-0</f>
        <v>-13000</v>
      </c>
      <c r="I103" s="69">
        <f t="shared" si="16"/>
        <v>7000</v>
      </c>
      <c r="J103" s="69">
        <v>20000</v>
      </c>
      <c r="K103" s="53">
        <f t="shared" si="17"/>
        <v>20840</v>
      </c>
      <c r="L103" s="176">
        <f t="shared" si="18"/>
        <v>21756.959999999999</v>
      </c>
    </row>
    <row r="104" spans="1:12" x14ac:dyDescent="0.3">
      <c r="A104" s="52" t="s">
        <v>1134</v>
      </c>
      <c r="B104" s="52" t="s">
        <v>1133</v>
      </c>
      <c r="C104" s="53">
        <v>40000</v>
      </c>
      <c r="D104" s="53"/>
      <c r="E104" s="53">
        <f t="shared" si="14"/>
        <v>40000</v>
      </c>
      <c r="F104" s="53"/>
      <c r="G104" s="53">
        <f t="shared" si="15"/>
        <v>40000</v>
      </c>
      <c r="H104" s="53">
        <v>-14500</v>
      </c>
      <c r="I104" s="69">
        <f t="shared" si="16"/>
        <v>25500</v>
      </c>
      <c r="J104" s="69">
        <v>40000</v>
      </c>
      <c r="K104" s="53">
        <f t="shared" si="17"/>
        <v>41680</v>
      </c>
      <c r="L104" s="176">
        <f t="shared" si="18"/>
        <v>43513.919999999998</v>
      </c>
    </row>
    <row r="105" spans="1:12" x14ac:dyDescent="0.3">
      <c r="A105" s="52"/>
      <c r="B105" s="51" t="s">
        <v>489</v>
      </c>
      <c r="C105" s="53">
        <v>0</v>
      </c>
      <c r="D105" s="53"/>
      <c r="E105" s="53">
        <f t="shared" si="14"/>
        <v>0</v>
      </c>
      <c r="F105" s="53"/>
      <c r="G105" s="53">
        <f t="shared" si="15"/>
        <v>0</v>
      </c>
      <c r="H105" s="53">
        <v>0</v>
      </c>
      <c r="I105" s="69">
        <f t="shared" si="16"/>
        <v>0</v>
      </c>
      <c r="J105" s="69"/>
      <c r="K105" s="53">
        <f t="shared" si="17"/>
        <v>0</v>
      </c>
      <c r="L105" s="176">
        <f t="shared" si="18"/>
        <v>0</v>
      </c>
    </row>
    <row r="106" spans="1:12" x14ac:dyDescent="0.3">
      <c r="A106" s="52" t="s">
        <v>1137</v>
      </c>
      <c r="B106" s="52" t="s">
        <v>504</v>
      </c>
      <c r="C106" s="53">
        <v>100000</v>
      </c>
      <c r="D106" s="53"/>
      <c r="E106" s="53">
        <f t="shared" si="14"/>
        <v>100000</v>
      </c>
      <c r="F106" s="53"/>
      <c r="G106" s="53">
        <f t="shared" si="15"/>
        <v>100000</v>
      </c>
      <c r="H106" s="53">
        <v>-45200</v>
      </c>
      <c r="I106" s="69">
        <f t="shared" si="16"/>
        <v>54800</v>
      </c>
      <c r="J106" s="69">
        <v>120000</v>
      </c>
      <c r="K106" s="53">
        <f t="shared" si="17"/>
        <v>125040</v>
      </c>
      <c r="L106" s="176">
        <f t="shared" si="18"/>
        <v>130541.76000000001</v>
      </c>
    </row>
    <row r="107" spans="1:12" x14ac:dyDescent="0.3">
      <c r="A107" s="52" t="s">
        <v>1138</v>
      </c>
      <c r="B107" s="52" t="s">
        <v>505</v>
      </c>
      <c r="C107" s="53">
        <v>200000</v>
      </c>
      <c r="D107" s="53"/>
      <c r="E107" s="53">
        <f t="shared" si="14"/>
        <v>200000</v>
      </c>
      <c r="F107" s="53"/>
      <c r="G107" s="53">
        <f t="shared" si="15"/>
        <v>200000</v>
      </c>
      <c r="H107" s="53">
        <v>-107000</v>
      </c>
      <c r="I107" s="69">
        <f t="shared" si="16"/>
        <v>93000</v>
      </c>
      <c r="J107" s="69">
        <v>220000</v>
      </c>
      <c r="K107" s="53">
        <f t="shared" si="17"/>
        <v>229240</v>
      </c>
      <c r="L107" s="176">
        <f t="shared" si="18"/>
        <v>239326.56</v>
      </c>
    </row>
    <row r="108" spans="1:12" x14ac:dyDescent="0.3">
      <c r="A108" s="52" t="s">
        <v>1139</v>
      </c>
      <c r="B108" s="52" t="s">
        <v>506</v>
      </c>
      <c r="C108" s="53">
        <v>100000</v>
      </c>
      <c r="D108" s="53"/>
      <c r="E108" s="53">
        <f t="shared" si="14"/>
        <v>100000</v>
      </c>
      <c r="F108" s="53"/>
      <c r="G108" s="53">
        <f t="shared" ref="G108:G122" si="19">E108+F108</f>
        <v>100000</v>
      </c>
      <c r="H108" s="53">
        <v>-7000</v>
      </c>
      <c r="I108" s="69">
        <f t="shared" ref="I108:I122" si="20">G108+H108</f>
        <v>93000</v>
      </c>
      <c r="J108" s="69">
        <v>80000</v>
      </c>
      <c r="K108" s="53">
        <f t="shared" ref="K108:K122" si="21">J108*104.2%</f>
        <v>83360</v>
      </c>
      <c r="L108" s="176">
        <f t="shared" ref="L108:L122" si="22">K108*104.4%</f>
        <v>87027.839999999997</v>
      </c>
    </row>
    <row r="109" spans="1:12" x14ac:dyDescent="0.3">
      <c r="A109" s="52"/>
      <c r="B109" s="52"/>
      <c r="C109" s="53">
        <v>0</v>
      </c>
      <c r="D109" s="53"/>
      <c r="E109" s="53">
        <f t="shared" si="14"/>
        <v>0</v>
      </c>
      <c r="F109" s="53"/>
      <c r="G109" s="53">
        <f t="shared" si="19"/>
        <v>0</v>
      </c>
      <c r="H109" s="53">
        <v>0</v>
      </c>
      <c r="I109" s="69">
        <f t="shared" si="20"/>
        <v>0</v>
      </c>
      <c r="J109" s="69"/>
      <c r="K109" s="53">
        <f t="shared" si="21"/>
        <v>0</v>
      </c>
      <c r="L109" s="176">
        <f t="shared" si="22"/>
        <v>0</v>
      </c>
    </row>
    <row r="110" spans="1:12" x14ac:dyDescent="0.3">
      <c r="A110" s="52"/>
      <c r="B110" s="51" t="s">
        <v>1381</v>
      </c>
      <c r="C110" s="53"/>
      <c r="D110" s="53"/>
      <c r="E110" s="53"/>
      <c r="F110" s="53"/>
      <c r="G110" s="53"/>
      <c r="H110" s="53"/>
      <c r="I110" s="69"/>
      <c r="J110" s="69"/>
      <c r="K110" s="53">
        <f t="shared" si="21"/>
        <v>0</v>
      </c>
      <c r="L110" s="176">
        <f t="shared" si="22"/>
        <v>0</v>
      </c>
    </row>
    <row r="111" spans="1:12" x14ac:dyDescent="0.3">
      <c r="A111" s="52" t="s">
        <v>1453</v>
      </c>
      <c r="B111" s="52" t="s">
        <v>1382</v>
      </c>
      <c r="C111" s="53"/>
      <c r="D111" s="53"/>
      <c r="E111" s="53"/>
      <c r="F111" s="53"/>
      <c r="G111" s="53"/>
      <c r="H111" s="53"/>
      <c r="I111" s="69"/>
      <c r="J111" s="69">
        <v>30000</v>
      </c>
      <c r="K111" s="53">
        <f t="shared" si="21"/>
        <v>31260</v>
      </c>
      <c r="L111" s="176">
        <f t="shared" si="22"/>
        <v>32635.440000000002</v>
      </c>
    </row>
    <row r="112" spans="1:12" x14ac:dyDescent="0.3">
      <c r="A112" s="52" t="s">
        <v>1454</v>
      </c>
      <c r="B112" s="52" t="s">
        <v>1383</v>
      </c>
      <c r="C112" s="53"/>
      <c r="D112" s="53"/>
      <c r="E112" s="53"/>
      <c r="F112" s="53"/>
      <c r="G112" s="53"/>
      <c r="H112" s="53"/>
      <c r="I112" s="69"/>
      <c r="J112" s="69">
        <v>28000</v>
      </c>
      <c r="K112" s="53">
        <f t="shared" si="21"/>
        <v>29176</v>
      </c>
      <c r="L112" s="176">
        <f t="shared" si="22"/>
        <v>30459.744000000002</v>
      </c>
    </row>
    <row r="113" spans="1:17" x14ac:dyDescent="0.3">
      <c r="A113" s="52" t="s">
        <v>1455</v>
      </c>
      <c r="B113" s="52" t="s">
        <v>1384</v>
      </c>
      <c r="C113" s="53"/>
      <c r="D113" s="53"/>
      <c r="E113" s="53"/>
      <c r="F113" s="53"/>
      <c r="G113" s="53"/>
      <c r="H113" s="53"/>
      <c r="I113" s="69"/>
      <c r="J113" s="69">
        <v>40000</v>
      </c>
      <c r="K113" s="53">
        <f t="shared" si="21"/>
        <v>41680</v>
      </c>
      <c r="L113" s="176">
        <f t="shared" si="22"/>
        <v>43513.919999999998</v>
      </c>
    </row>
    <row r="114" spans="1:17" x14ac:dyDescent="0.3">
      <c r="A114" s="52"/>
      <c r="B114" s="52"/>
      <c r="C114" s="53"/>
      <c r="D114" s="53"/>
      <c r="E114" s="53"/>
      <c r="F114" s="53"/>
      <c r="G114" s="53"/>
      <c r="H114" s="53"/>
      <c r="I114" s="69"/>
      <c r="J114" s="69"/>
      <c r="K114" s="53">
        <f t="shared" si="21"/>
        <v>0</v>
      </c>
      <c r="L114" s="176">
        <f t="shared" si="22"/>
        <v>0</v>
      </c>
    </row>
    <row r="115" spans="1:17" x14ac:dyDescent="0.3">
      <c r="A115" s="52"/>
      <c r="B115" s="51" t="s">
        <v>1386</v>
      </c>
      <c r="C115" s="53"/>
      <c r="D115" s="53"/>
      <c r="E115" s="53"/>
      <c r="F115" s="53"/>
      <c r="G115" s="53"/>
      <c r="H115" s="53"/>
      <c r="I115" s="69"/>
      <c r="J115" s="69"/>
      <c r="K115" s="53">
        <f t="shared" si="21"/>
        <v>0</v>
      </c>
      <c r="L115" s="176">
        <f t="shared" si="22"/>
        <v>0</v>
      </c>
    </row>
    <row r="116" spans="1:17" x14ac:dyDescent="0.3">
      <c r="A116" s="52" t="s">
        <v>1456</v>
      </c>
      <c r="B116" s="52" t="s">
        <v>1385</v>
      </c>
      <c r="C116" s="53"/>
      <c r="D116" s="53"/>
      <c r="E116" s="53"/>
      <c r="F116" s="53"/>
      <c r="G116" s="53"/>
      <c r="H116" s="53"/>
      <c r="I116" s="69"/>
      <c r="J116" s="69">
        <v>100000</v>
      </c>
      <c r="K116" s="53">
        <f t="shared" si="21"/>
        <v>104200</v>
      </c>
      <c r="L116" s="176">
        <f t="shared" si="22"/>
        <v>108784.8</v>
      </c>
    </row>
    <row r="117" spans="1:17" x14ac:dyDescent="0.3">
      <c r="A117" s="52"/>
      <c r="B117" s="52"/>
      <c r="C117" s="53"/>
      <c r="D117" s="53"/>
      <c r="E117" s="53"/>
      <c r="F117" s="53"/>
      <c r="G117" s="53"/>
      <c r="H117" s="53"/>
      <c r="I117" s="69"/>
      <c r="J117" s="69"/>
      <c r="K117" s="53">
        <f t="shared" si="21"/>
        <v>0</v>
      </c>
      <c r="L117" s="176">
        <f t="shared" si="22"/>
        <v>0</v>
      </c>
    </row>
    <row r="118" spans="1:17" x14ac:dyDescent="0.3">
      <c r="A118" s="52"/>
      <c r="B118" s="52"/>
      <c r="C118" s="53"/>
      <c r="D118" s="53"/>
      <c r="E118" s="53"/>
      <c r="F118" s="53"/>
      <c r="G118" s="53"/>
      <c r="H118" s="53"/>
      <c r="I118" s="69"/>
      <c r="J118" s="69"/>
      <c r="K118" s="53">
        <f t="shared" si="21"/>
        <v>0</v>
      </c>
      <c r="L118" s="176">
        <f t="shared" si="22"/>
        <v>0</v>
      </c>
    </row>
    <row r="119" spans="1:17" s="77" customFormat="1" ht="13.5" customHeight="1" x14ac:dyDescent="0.3">
      <c r="A119" s="51"/>
      <c r="B119" s="51" t="s">
        <v>490</v>
      </c>
      <c r="C119" s="53">
        <v>0</v>
      </c>
      <c r="D119" s="53"/>
      <c r="E119" s="53">
        <f t="shared" si="14"/>
        <v>0</v>
      </c>
      <c r="F119" s="53"/>
      <c r="G119" s="53">
        <f t="shared" si="19"/>
        <v>0</v>
      </c>
      <c r="H119" s="53">
        <v>0</v>
      </c>
      <c r="I119" s="69">
        <f t="shared" si="20"/>
        <v>0</v>
      </c>
      <c r="J119" s="69"/>
      <c r="K119" s="53">
        <f t="shared" si="21"/>
        <v>0</v>
      </c>
      <c r="L119" s="176">
        <f t="shared" si="22"/>
        <v>0</v>
      </c>
      <c r="M119" s="180"/>
      <c r="N119" s="193"/>
      <c r="O119" s="190"/>
      <c r="P119" s="76"/>
      <c r="Q119" s="76"/>
    </row>
    <row r="120" spans="1:17" x14ac:dyDescent="0.3">
      <c r="A120" s="52" t="s">
        <v>1143</v>
      </c>
      <c r="B120" s="52" t="s">
        <v>1140</v>
      </c>
      <c r="C120" s="53">
        <v>120000</v>
      </c>
      <c r="D120" s="53"/>
      <c r="E120" s="53">
        <f t="shared" si="14"/>
        <v>120000</v>
      </c>
      <c r="F120" s="53"/>
      <c r="G120" s="53">
        <f t="shared" si="19"/>
        <v>120000</v>
      </c>
      <c r="H120" s="53">
        <v>-86340</v>
      </c>
      <c r="I120" s="69">
        <f t="shared" si="20"/>
        <v>33660</v>
      </c>
      <c r="J120" s="69">
        <v>120000</v>
      </c>
      <c r="K120" s="53">
        <f t="shared" si="21"/>
        <v>125040</v>
      </c>
      <c r="L120" s="176">
        <f t="shared" si="22"/>
        <v>130541.76000000001</v>
      </c>
    </row>
    <row r="121" spans="1:17" x14ac:dyDescent="0.3">
      <c r="A121" s="52" t="s">
        <v>1144</v>
      </c>
      <c r="B121" s="52" t="s">
        <v>1141</v>
      </c>
      <c r="C121" s="53">
        <v>20000</v>
      </c>
      <c r="D121" s="53"/>
      <c r="E121" s="53">
        <f t="shared" si="14"/>
        <v>20000</v>
      </c>
      <c r="F121" s="53"/>
      <c r="G121" s="53">
        <f t="shared" si="19"/>
        <v>20000</v>
      </c>
      <c r="H121" s="53">
        <v>-14000</v>
      </c>
      <c r="I121" s="69">
        <f t="shared" si="20"/>
        <v>6000</v>
      </c>
      <c r="J121" s="69">
        <v>20000</v>
      </c>
      <c r="K121" s="53">
        <f t="shared" si="21"/>
        <v>20840</v>
      </c>
      <c r="L121" s="176">
        <f t="shared" si="22"/>
        <v>21756.959999999999</v>
      </c>
    </row>
    <row r="122" spans="1:17" ht="13.5" thickBot="1" x14ac:dyDescent="0.35">
      <c r="A122" s="52" t="s">
        <v>1145</v>
      </c>
      <c r="B122" s="52" t="s">
        <v>1142</v>
      </c>
      <c r="C122" s="53">
        <v>60000</v>
      </c>
      <c r="D122" s="53"/>
      <c r="E122" s="53">
        <f t="shared" si="14"/>
        <v>60000</v>
      </c>
      <c r="F122" s="53"/>
      <c r="G122" s="53">
        <f t="shared" si="19"/>
        <v>60000</v>
      </c>
      <c r="H122" s="53">
        <v>-60000</v>
      </c>
      <c r="I122" s="69">
        <f t="shared" si="20"/>
        <v>0</v>
      </c>
      <c r="J122" s="69">
        <v>30000</v>
      </c>
      <c r="K122" s="53">
        <f t="shared" si="21"/>
        <v>31260</v>
      </c>
      <c r="L122" s="176">
        <f t="shared" si="22"/>
        <v>32635.440000000002</v>
      </c>
    </row>
    <row r="123" spans="1:17" s="77" customFormat="1" ht="13.5" thickBot="1" x14ac:dyDescent="0.35">
      <c r="A123" s="57" t="s">
        <v>674</v>
      </c>
      <c r="B123" s="57"/>
      <c r="C123" s="59">
        <f t="shared" ref="C123:L123" si="23">SUM(C43:C122)</f>
        <v>3697000</v>
      </c>
      <c r="D123" s="59">
        <f t="shared" si="23"/>
        <v>0</v>
      </c>
      <c r="E123" s="59">
        <f t="shared" si="23"/>
        <v>3697000</v>
      </c>
      <c r="F123" s="59">
        <f t="shared" si="23"/>
        <v>1500000</v>
      </c>
      <c r="G123" s="59">
        <f t="shared" si="23"/>
        <v>5197000</v>
      </c>
      <c r="H123" s="59">
        <f t="shared" si="23"/>
        <v>-2610382</v>
      </c>
      <c r="I123" s="59">
        <f t="shared" si="23"/>
        <v>2586618</v>
      </c>
      <c r="J123" s="59">
        <f>SUM(J43:J122)</f>
        <v>4032000</v>
      </c>
      <c r="K123" s="59">
        <f t="shared" si="23"/>
        <v>4201344</v>
      </c>
      <c r="L123" s="59">
        <f t="shared" si="23"/>
        <v>4386203.1359999971</v>
      </c>
      <c r="M123" s="180"/>
      <c r="N123" s="193"/>
      <c r="O123" s="193"/>
      <c r="P123" s="76"/>
      <c r="Q123" s="76"/>
    </row>
    <row r="124" spans="1:17" ht="13.5" thickTop="1" x14ac:dyDescent="0.3">
      <c r="A124" s="60"/>
      <c r="B124" s="61"/>
      <c r="C124" s="62"/>
      <c r="D124" s="62"/>
      <c r="E124" s="53">
        <f t="shared" si="14"/>
        <v>0</v>
      </c>
      <c r="F124" s="53"/>
      <c r="G124" s="53"/>
      <c r="H124" s="53"/>
      <c r="I124" s="53"/>
      <c r="J124" s="53"/>
      <c r="K124" s="53"/>
      <c r="L124" s="184"/>
    </row>
    <row r="125" spans="1:17" x14ac:dyDescent="0.3">
      <c r="A125" s="51" t="s">
        <v>77</v>
      </c>
      <c r="B125" s="52"/>
      <c r="C125" s="53"/>
      <c r="D125" s="53"/>
      <c r="E125" s="53">
        <f t="shared" si="14"/>
        <v>0</v>
      </c>
      <c r="F125" s="53"/>
      <c r="G125" s="53"/>
      <c r="H125" s="53"/>
      <c r="I125" s="53"/>
      <c r="J125" s="53"/>
      <c r="K125" s="53"/>
      <c r="L125" s="176"/>
    </row>
    <row r="126" spans="1:17" x14ac:dyDescent="0.3">
      <c r="A126" s="52"/>
      <c r="B126" s="52" t="s">
        <v>183</v>
      </c>
      <c r="C126" s="53">
        <v>0</v>
      </c>
      <c r="D126" s="53"/>
      <c r="E126" s="53">
        <f t="shared" si="14"/>
        <v>0</v>
      </c>
      <c r="F126" s="53"/>
      <c r="G126" s="53">
        <f t="shared" ref="G126:G134" si="24">E126+F126</f>
        <v>0</v>
      </c>
      <c r="H126" s="53"/>
      <c r="I126" s="69">
        <f t="shared" ref="I126:I134" si="25">G126+H126</f>
        <v>0</v>
      </c>
      <c r="J126" s="69"/>
      <c r="K126" s="53"/>
      <c r="L126" s="176"/>
    </row>
    <row r="127" spans="1:17" x14ac:dyDescent="0.3">
      <c r="A127" s="52"/>
      <c r="B127" s="52" t="s">
        <v>174</v>
      </c>
      <c r="C127" s="53">
        <v>0</v>
      </c>
      <c r="D127" s="53"/>
      <c r="E127" s="53">
        <f t="shared" si="14"/>
        <v>0</v>
      </c>
      <c r="F127" s="53"/>
      <c r="G127" s="53">
        <f t="shared" si="24"/>
        <v>0</v>
      </c>
      <c r="H127" s="53"/>
      <c r="I127" s="69">
        <f t="shared" si="25"/>
        <v>0</v>
      </c>
      <c r="J127" s="69"/>
      <c r="K127" s="53"/>
      <c r="L127" s="176"/>
    </row>
    <row r="128" spans="1:17" x14ac:dyDescent="0.3">
      <c r="A128" s="52"/>
      <c r="B128" s="52" t="s">
        <v>180</v>
      </c>
      <c r="C128" s="53">
        <v>0</v>
      </c>
      <c r="D128" s="53"/>
      <c r="E128" s="53">
        <f t="shared" si="14"/>
        <v>0</v>
      </c>
      <c r="F128" s="53"/>
      <c r="G128" s="53">
        <f t="shared" si="24"/>
        <v>0</v>
      </c>
      <c r="H128" s="53"/>
      <c r="I128" s="69">
        <f t="shared" si="25"/>
        <v>0</v>
      </c>
      <c r="J128" s="69"/>
      <c r="K128" s="53"/>
      <c r="L128" s="176"/>
    </row>
    <row r="129" spans="1:17" x14ac:dyDescent="0.3">
      <c r="A129" s="52"/>
      <c r="B129" s="52" t="s">
        <v>57</v>
      </c>
      <c r="C129" s="53">
        <v>0</v>
      </c>
      <c r="D129" s="53"/>
      <c r="E129" s="53">
        <f t="shared" si="14"/>
        <v>0</v>
      </c>
      <c r="F129" s="53"/>
      <c r="G129" s="53">
        <f t="shared" si="24"/>
        <v>0</v>
      </c>
      <c r="H129" s="53"/>
      <c r="I129" s="69">
        <f t="shared" si="25"/>
        <v>0</v>
      </c>
      <c r="J129" s="69"/>
      <c r="K129" s="53"/>
      <c r="L129" s="176"/>
    </row>
    <row r="130" spans="1:17" x14ac:dyDescent="0.3">
      <c r="A130" s="52"/>
      <c r="B130" s="52" t="s">
        <v>166</v>
      </c>
      <c r="C130" s="53">
        <v>0</v>
      </c>
      <c r="D130" s="53"/>
      <c r="E130" s="53">
        <f t="shared" si="14"/>
        <v>0</v>
      </c>
      <c r="F130" s="53"/>
      <c r="G130" s="53">
        <f t="shared" si="24"/>
        <v>0</v>
      </c>
      <c r="H130" s="53"/>
      <c r="I130" s="69">
        <f t="shared" si="25"/>
        <v>0</v>
      </c>
      <c r="J130" s="69"/>
      <c r="K130" s="53"/>
      <c r="L130" s="176"/>
    </row>
    <row r="131" spans="1:17" x14ac:dyDescent="0.3">
      <c r="A131" s="52"/>
      <c r="B131" s="52" t="s">
        <v>171</v>
      </c>
      <c r="C131" s="53">
        <v>0</v>
      </c>
      <c r="D131" s="53"/>
      <c r="E131" s="53">
        <f t="shared" si="14"/>
        <v>0</v>
      </c>
      <c r="F131" s="53"/>
      <c r="G131" s="53">
        <f t="shared" si="24"/>
        <v>0</v>
      </c>
      <c r="H131" s="53"/>
      <c r="I131" s="69">
        <f t="shared" si="25"/>
        <v>0</v>
      </c>
      <c r="J131" s="69"/>
      <c r="K131" s="53"/>
      <c r="L131" s="176"/>
    </row>
    <row r="132" spans="1:17" x14ac:dyDescent="0.3">
      <c r="A132" s="52"/>
      <c r="B132" s="52" t="s">
        <v>190</v>
      </c>
      <c r="C132" s="53">
        <v>0</v>
      </c>
      <c r="D132" s="53"/>
      <c r="E132" s="53">
        <f t="shared" si="14"/>
        <v>0</v>
      </c>
      <c r="F132" s="53"/>
      <c r="G132" s="53">
        <f t="shared" si="24"/>
        <v>0</v>
      </c>
      <c r="H132" s="53"/>
      <c r="I132" s="69">
        <f t="shared" si="25"/>
        <v>0</v>
      </c>
      <c r="J132" s="69"/>
      <c r="K132" s="53"/>
      <c r="L132" s="176"/>
    </row>
    <row r="133" spans="1:17" x14ac:dyDescent="0.3">
      <c r="A133" s="52"/>
      <c r="B133" s="52" t="s">
        <v>55</v>
      </c>
      <c r="C133" s="53">
        <v>0</v>
      </c>
      <c r="D133" s="53"/>
      <c r="E133" s="53">
        <f t="shared" si="14"/>
        <v>0</v>
      </c>
      <c r="F133" s="53"/>
      <c r="G133" s="53">
        <f t="shared" si="24"/>
        <v>0</v>
      </c>
      <c r="H133" s="53"/>
      <c r="I133" s="69">
        <f t="shared" si="25"/>
        <v>0</v>
      </c>
      <c r="J133" s="69"/>
      <c r="K133" s="53"/>
      <c r="L133" s="176"/>
    </row>
    <row r="134" spans="1:17" ht="13.5" thickBot="1" x14ac:dyDescent="0.35">
      <c r="A134" s="52"/>
      <c r="B134" s="52" t="s">
        <v>177</v>
      </c>
      <c r="C134" s="53">
        <v>0</v>
      </c>
      <c r="D134" s="53"/>
      <c r="E134" s="53">
        <f t="shared" si="14"/>
        <v>0</v>
      </c>
      <c r="F134" s="53"/>
      <c r="G134" s="53">
        <f t="shared" si="24"/>
        <v>0</v>
      </c>
      <c r="H134" s="53"/>
      <c r="I134" s="69">
        <f t="shared" si="25"/>
        <v>0</v>
      </c>
      <c r="J134" s="69"/>
      <c r="K134" s="53"/>
      <c r="L134" s="176"/>
    </row>
    <row r="135" spans="1:17" s="77" customFormat="1" ht="13.5" thickBot="1" x14ac:dyDescent="0.35">
      <c r="A135" s="57" t="s">
        <v>201</v>
      </c>
      <c r="B135" s="57"/>
      <c r="C135" s="57"/>
      <c r="D135" s="57"/>
      <c r="E135" s="166">
        <f t="shared" ref="E135:F135" si="26">SUM(E126:E134)</f>
        <v>0</v>
      </c>
      <c r="F135" s="166">
        <f t="shared" si="26"/>
        <v>0</v>
      </c>
      <c r="G135" s="166">
        <f>SUM(G126:G134)</f>
        <v>0</v>
      </c>
      <c r="H135" s="166">
        <f t="shared" ref="H135:I135" si="27">SUM(H126:H134)</f>
        <v>0</v>
      </c>
      <c r="I135" s="166">
        <f t="shared" si="27"/>
        <v>0</v>
      </c>
      <c r="J135" s="166"/>
      <c r="K135" s="166"/>
      <c r="L135" s="208"/>
      <c r="M135" s="212"/>
      <c r="N135" s="213"/>
      <c r="O135" s="213"/>
      <c r="P135" s="76"/>
      <c r="Q135" s="76"/>
    </row>
    <row r="136" spans="1:17" s="77" customFormat="1" ht="14" thickTop="1" thickBot="1" x14ac:dyDescent="0.35">
      <c r="A136" s="74"/>
      <c r="B136" s="74"/>
      <c r="C136" s="80"/>
      <c r="D136" s="80"/>
      <c r="E136" s="53">
        <f t="shared" si="14"/>
        <v>0</v>
      </c>
      <c r="F136" s="79"/>
      <c r="G136" s="79"/>
      <c r="H136" s="79"/>
      <c r="I136" s="79"/>
      <c r="J136" s="79"/>
      <c r="K136" s="80"/>
      <c r="L136" s="180"/>
      <c r="M136" s="180"/>
      <c r="N136" s="193"/>
      <c r="O136" s="193"/>
      <c r="P136" s="76"/>
      <c r="Q136" s="76"/>
    </row>
    <row r="137" spans="1:17" s="77" customFormat="1" ht="13.5" thickBot="1" x14ac:dyDescent="0.35">
      <c r="A137" s="70" t="s">
        <v>685</v>
      </c>
      <c r="B137" s="70"/>
      <c r="C137" s="72">
        <f>C135+C123</f>
        <v>3697000</v>
      </c>
      <c r="D137" s="72">
        <f t="shared" ref="D137:L137" si="28">D135+D123</f>
        <v>0</v>
      </c>
      <c r="E137" s="72">
        <f t="shared" si="28"/>
        <v>3697000</v>
      </c>
      <c r="F137" s="72">
        <f t="shared" si="28"/>
        <v>1500000</v>
      </c>
      <c r="G137" s="72">
        <f t="shared" si="28"/>
        <v>5197000</v>
      </c>
      <c r="H137" s="72">
        <f t="shared" si="28"/>
        <v>-2610382</v>
      </c>
      <c r="I137" s="72">
        <f t="shared" si="28"/>
        <v>2586618</v>
      </c>
      <c r="J137" s="72">
        <f t="shared" si="28"/>
        <v>4032000</v>
      </c>
      <c r="K137" s="72">
        <f t="shared" si="28"/>
        <v>4201344</v>
      </c>
      <c r="L137" s="72">
        <f t="shared" si="28"/>
        <v>4386203.1359999971</v>
      </c>
      <c r="M137" s="180"/>
      <c r="N137" s="193"/>
      <c r="O137" s="193"/>
      <c r="P137" s="76"/>
      <c r="Q137" s="76"/>
    </row>
    <row r="138" spans="1:17" s="77" customFormat="1" ht="13.5" thickTop="1" x14ac:dyDescent="0.3">
      <c r="A138" s="60"/>
      <c r="B138" s="60"/>
      <c r="C138" s="78"/>
      <c r="D138" s="78"/>
      <c r="E138" s="53">
        <f t="shared" si="14"/>
        <v>0</v>
      </c>
      <c r="F138" s="62"/>
      <c r="G138" s="62"/>
      <c r="H138" s="62"/>
      <c r="I138" s="62"/>
      <c r="J138" s="62"/>
      <c r="K138" s="78"/>
      <c r="L138" s="178"/>
      <c r="M138" s="180"/>
      <c r="N138" s="193"/>
      <c r="O138" s="193"/>
      <c r="P138" s="76"/>
      <c r="Q138" s="76"/>
    </row>
    <row r="139" spans="1:17" s="77" customFormat="1" x14ac:dyDescent="0.3">
      <c r="A139" s="51" t="s">
        <v>686</v>
      </c>
      <c r="B139" s="51"/>
      <c r="C139" s="67"/>
      <c r="D139" s="67"/>
      <c r="E139" s="53">
        <f t="shared" si="14"/>
        <v>0</v>
      </c>
      <c r="F139" s="53"/>
      <c r="G139" s="53"/>
      <c r="H139" s="53"/>
      <c r="I139" s="53"/>
      <c r="J139" s="53"/>
      <c r="K139" s="67"/>
      <c r="L139" s="185"/>
      <c r="M139" s="180"/>
      <c r="N139" s="193"/>
      <c r="O139" s="193"/>
      <c r="P139" s="76"/>
      <c r="Q139" s="76"/>
    </row>
    <row r="140" spans="1:17" s="77" customFormat="1" x14ac:dyDescent="0.3">
      <c r="A140" s="51"/>
      <c r="B140" s="51"/>
      <c r="C140" s="67"/>
      <c r="D140" s="67"/>
      <c r="E140" s="53">
        <f t="shared" si="14"/>
        <v>0</v>
      </c>
      <c r="F140" s="53"/>
      <c r="G140" s="53"/>
      <c r="H140" s="53"/>
      <c r="I140" s="53"/>
      <c r="J140" s="53"/>
      <c r="K140" s="67"/>
      <c r="L140" s="185"/>
      <c r="M140" s="180"/>
      <c r="N140" s="193"/>
      <c r="O140" s="193"/>
      <c r="P140" s="76"/>
      <c r="Q140" s="76"/>
    </row>
    <row r="141" spans="1:17" s="77" customFormat="1" x14ac:dyDescent="0.3">
      <c r="A141" s="51" t="s">
        <v>73</v>
      </c>
      <c r="B141" s="51"/>
      <c r="C141" s="67"/>
      <c r="D141" s="67"/>
      <c r="E141" s="53">
        <f t="shared" si="14"/>
        <v>0</v>
      </c>
      <c r="F141" s="53"/>
      <c r="G141" s="53"/>
      <c r="H141" s="53"/>
      <c r="I141" s="53"/>
      <c r="J141" s="53"/>
      <c r="K141" s="67"/>
      <c r="L141" s="185"/>
      <c r="M141" s="180"/>
      <c r="N141" s="193"/>
      <c r="O141" s="193"/>
      <c r="P141" s="76"/>
      <c r="Q141" s="76"/>
    </row>
    <row r="142" spans="1:17" s="77" customFormat="1" x14ac:dyDescent="0.3">
      <c r="A142" s="51"/>
      <c r="B142" s="51"/>
      <c r="C142" s="67"/>
      <c r="D142" s="67"/>
      <c r="E142" s="53">
        <f t="shared" si="14"/>
        <v>0</v>
      </c>
      <c r="F142" s="53"/>
      <c r="G142" s="53"/>
      <c r="H142" s="53"/>
      <c r="I142" s="53"/>
      <c r="J142" s="53"/>
      <c r="K142" s="67"/>
      <c r="L142" s="185"/>
      <c r="M142" s="180"/>
      <c r="N142" s="193"/>
      <c r="O142" s="193"/>
      <c r="P142" s="76"/>
      <c r="Q142" s="76"/>
    </row>
    <row r="143" spans="1:17" s="77" customFormat="1" x14ac:dyDescent="0.3">
      <c r="A143" s="51" t="s">
        <v>717</v>
      </c>
      <c r="B143" s="51"/>
      <c r="C143" s="67"/>
      <c r="D143" s="67"/>
      <c r="E143" s="53">
        <f t="shared" si="14"/>
        <v>0</v>
      </c>
      <c r="F143" s="53"/>
      <c r="G143" s="53"/>
      <c r="H143" s="53"/>
      <c r="I143" s="53"/>
      <c r="J143" s="53"/>
      <c r="K143" s="67"/>
      <c r="L143" s="185"/>
      <c r="M143" s="180"/>
      <c r="N143" s="193"/>
      <c r="O143" s="193"/>
      <c r="P143" s="76"/>
      <c r="Q143" s="76"/>
    </row>
    <row r="144" spans="1:17" s="77" customFormat="1" x14ac:dyDescent="0.3">
      <c r="A144" s="52" t="s">
        <v>1161</v>
      </c>
      <c r="B144" s="52" t="s">
        <v>718</v>
      </c>
      <c r="C144" s="53">
        <v>-100000</v>
      </c>
      <c r="D144" s="53"/>
      <c r="E144" s="53">
        <f t="shared" si="14"/>
        <v>-100000</v>
      </c>
      <c r="F144" s="53"/>
      <c r="G144" s="53">
        <f>E144+F144</f>
        <v>-100000</v>
      </c>
      <c r="H144" s="53">
        <v>66521.700000000012</v>
      </c>
      <c r="I144" s="69">
        <f>G144+H144</f>
        <v>-33478.299999999988</v>
      </c>
      <c r="J144" s="69">
        <v>-100000</v>
      </c>
      <c r="K144" s="53">
        <f>J144*104.2%</f>
        <v>-104200</v>
      </c>
      <c r="L144" s="176">
        <f>K144*104.4%</f>
        <v>-108784.8</v>
      </c>
      <c r="M144" s="180"/>
      <c r="N144" s="193"/>
      <c r="O144" s="190"/>
      <c r="P144" s="76"/>
      <c r="Q144" s="76"/>
    </row>
    <row r="145" spans="1:17" s="77" customFormat="1" ht="13.5" thickBot="1" x14ac:dyDescent="0.35">
      <c r="A145" s="56"/>
      <c r="B145" s="55"/>
      <c r="C145" s="83"/>
      <c r="D145" s="83"/>
      <c r="E145" s="53">
        <f t="shared" si="14"/>
        <v>0</v>
      </c>
      <c r="F145" s="69"/>
      <c r="G145" s="69"/>
      <c r="H145" s="69"/>
      <c r="I145" s="69"/>
      <c r="J145" s="69"/>
      <c r="K145" s="83"/>
      <c r="L145" s="182"/>
      <c r="M145" s="180"/>
      <c r="N145" s="193"/>
      <c r="O145" s="193"/>
      <c r="P145" s="76"/>
      <c r="Q145" s="76"/>
    </row>
    <row r="146" spans="1:17" s="77" customFormat="1" ht="13.5" thickBot="1" x14ac:dyDescent="0.35">
      <c r="A146" s="57" t="s">
        <v>719</v>
      </c>
      <c r="B146" s="57"/>
      <c r="C146" s="59">
        <f>SUM(C144:C145)</f>
        <v>-100000</v>
      </c>
      <c r="D146" s="59">
        <f t="shared" ref="D146:L146" si="29">SUM(D144:D145)</f>
        <v>0</v>
      </c>
      <c r="E146" s="59">
        <f t="shared" si="29"/>
        <v>-100000</v>
      </c>
      <c r="F146" s="59">
        <f t="shared" si="29"/>
        <v>0</v>
      </c>
      <c r="G146" s="59">
        <f t="shared" si="29"/>
        <v>-100000</v>
      </c>
      <c r="H146" s="59">
        <f t="shared" si="29"/>
        <v>66521.700000000012</v>
      </c>
      <c r="I146" s="59">
        <f t="shared" si="29"/>
        <v>-33478.299999999988</v>
      </c>
      <c r="J146" s="59">
        <f>SUM(J144:J145)</f>
        <v>-100000</v>
      </c>
      <c r="K146" s="59">
        <f t="shared" si="29"/>
        <v>-104200</v>
      </c>
      <c r="L146" s="59">
        <f t="shared" si="29"/>
        <v>-108784.8</v>
      </c>
      <c r="M146" s="180"/>
      <c r="N146" s="193"/>
      <c r="O146" s="193"/>
      <c r="P146" s="76"/>
      <c r="Q146" s="76"/>
    </row>
    <row r="147" spans="1:17" s="77" customFormat="1" ht="13.5" thickTop="1" x14ac:dyDescent="0.3">
      <c r="A147" s="60"/>
      <c r="B147" s="60"/>
      <c r="C147" s="78"/>
      <c r="D147" s="78"/>
      <c r="E147" s="53">
        <f t="shared" si="14"/>
        <v>0</v>
      </c>
      <c r="F147" s="62"/>
      <c r="G147" s="62"/>
      <c r="H147" s="62"/>
      <c r="I147" s="62"/>
      <c r="J147" s="62"/>
      <c r="K147" s="78"/>
      <c r="L147" s="178"/>
      <c r="M147" s="180"/>
      <c r="N147" s="193"/>
      <c r="O147" s="193"/>
      <c r="P147" s="76"/>
      <c r="Q147" s="76"/>
    </row>
    <row r="148" spans="1:17" s="77" customFormat="1" x14ac:dyDescent="0.3">
      <c r="A148" s="51" t="s">
        <v>458</v>
      </c>
      <c r="B148" s="51"/>
      <c r="C148" s="67"/>
      <c r="D148" s="67"/>
      <c r="E148" s="53">
        <f t="shared" ref="E148:E230" si="30">C148+D148</f>
        <v>0</v>
      </c>
      <c r="F148" s="53"/>
      <c r="G148" s="53"/>
      <c r="H148" s="53"/>
      <c r="I148" s="53"/>
      <c r="J148" s="53"/>
      <c r="K148" s="67"/>
      <c r="L148" s="185"/>
      <c r="M148" s="180"/>
      <c r="N148" s="193"/>
      <c r="O148" s="193"/>
      <c r="P148" s="76"/>
      <c r="Q148" s="76"/>
    </row>
    <row r="149" spans="1:17" s="77" customFormat="1" x14ac:dyDescent="0.3">
      <c r="A149" s="51"/>
      <c r="B149" s="51"/>
      <c r="C149" s="67"/>
      <c r="D149" s="67"/>
      <c r="E149" s="53">
        <f t="shared" si="30"/>
        <v>0</v>
      </c>
      <c r="F149" s="53"/>
      <c r="G149" s="53"/>
      <c r="H149" s="53"/>
      <c r="I149" s="53"/>
      <c r="J149" s="53"/>
      <c r="K149" s="67"/>
      <c r="L149" s="185"/>
      <c r="M149" s="180"/>
      <c r="N149" s="193"/>
      <c r="O149" s="193"/>
      <c r="P149" s="76"/>
      <c r="Q149" s="76"/>
    </row>
    <row r="150" spans="1:17" s="77" customFormat="1" x14ac:dyDescent="0.3">
      <c r="A150" s="52" t="s">
        <v>661</v>
      </c>
      <c r="B150" s="52" t="s">
        <v>139</v>
      </c>
      <c r="C150" s="53">
        <v>950000</v>
      </c>
      <c r="D150" s="53"/>
      <c r="E150" s="53">
        <f t="shared" si="30"/>
        <v>950000</v>
      </c>
      <c r="F150" s="53"/>
      <c r="G150" s="53">
        <f>E150+F150</f>
        <v>950000</v>
      </c>
      <c r="H150" s="53">
        <f>(60000)+147166.68</f>
        <v>207166.68</v>
      </c>
      <c r="I150" s="69">
        <f>G150+H150</f>
        <v>1157166.68</v>
      </c>
      <c r="J150" s="69">
        <v>1300000</v>
      </c>
      <c r="K150" s="53">
        <f>J150*104.2%</f>
        <v>1354600</v>
      </c>
      <c r="L150" s="176">
        <f>K150*104.4%</f>
        <v>1414202.4000000001</v>
      </c>
      <c r="M150" s="180"/>
      <c r="N150" s="193"/>
      <c r="O150" s="190"/>
      <c r="P150" s="76"/>
      <c r="Q150" s="76"/>
    </row>
    <row r="151" spans="1:17" s="77" customFormat="1" x14ac:dyDescent="0.3">
      <c r="A151" s="56" t="s">
        <v>1457</v>
      </c>
      <c r="B151" s="56" t="s">
        <v>1447</v>
      </c>
      <c r="C151" s="69"/>
      <c r="D151" s="69"/>
      <c r="E151" s="53"/>
      <c r="F151" s="69"/>
      <c r="G151" s="69"/>
      <c r="H151" s="69"/>
      <c r="I151" s="69"/>
      <c r="J151" s="69">
        <v>100000</v>
      </c>
      <c r="K151" s="53">
        <f>J151*104.2%</f>
        <v>104200</v>
      </c>
      <c r="L151" s="176">
        <f>K151*104.4%</f>
        <v>108784.8</v>
      </c>
      <c r="M151" s="180"/>
      <c r="N151" s="193"/>
      <c r="O151" s="190"/>
      <c r="P151" s="76"/>
      <c r="Q151" s="76"/>
    </row>
    <row r="152" spans="1:17" s="77" customFormat="1" x14ac:dyDescent="0.3">
      <c r="A152" s="56"/>
      <c r="B152" s="56" t="s">
        <v>1445</v>
      </c>
      <c r="C152" s="69"/>
      <c r="D152" s="69"/>
      <c r="E152" s="53"/>
      <c r="F152" s="69"/>
      <c r="G152" s="69"/>
      <c r="H152" s="69"/>
      <c r="I152" s="69"/>
      <c r="J152" s="69"/>
      <c r="K152" s="53">
        <f>J152*104.2%</f>
        <v>0</v>
      </c>
      <c r="L152" s="176">
        <f>K152*104.4%</f>
        <v>0</v>
      </c>
      <c r="M152" s="180"/>
      <c r="N152" s="193"/>
      <c r="O152" s="190"/>
      <c r="P152" s="76"/>
      <c r="Q152" s="76"/>
    </row>
    <row r="153" spans="1:17" s="77" customFormat="1" x14ac:dyDescent="0.3">
      <c r="A153" s="56" t="s">
        <v>1458</v>
      </c>
      <c r="B153" s="56" t="s">
        <v>1375</v>
      </c>
      <c r="C153" s="69"/>
      <c r="D153" s="69"/>
      <c r="E153" s="53"/>
      <c r="F153" s="69"/>
      <c r="G153" s="69"/>
      <c r="H153" s="69"/>
      <c r="I153" s="69"/>
      <c r="J153" s="69">
        <v>200000</v>
      </c>
      <c r="K153" s="53">
        <f>J153*104.2%</f>
        <v>208400</v>
      </c>
      <c r="L153" s="176">
        <f>K153*104.4%</f>
        <v>217569.6</v>
      </c>
      <c r="M153" s="180"/>
      <c r="N153" s="193"/>
      <c r="O153" s="190"/>
      <c r="P153" s="76"/>
      <c r="Q153" s="76"/>
    </row>
    <row r="154" spans="1:17" s="77" customFormat="1" x14ac:dyDescent="0.3">
      <c r="A154" s="56"/>
      <c r="B154" s="56" t="s">
        <v>1376</v>
      </c>
      <c r="C154" s="69"/>
      <c r="D154" s="69"/>
      <c r="E154" s="53"/>
      <c r="F154" s="69"/>
      <c r="G154" s="69"/>
      <c r="H154" s="69"/>
      <c r="I154" s="69"/>
      <c r="J154" s="69"/>
      <c r="K154" s="69"/>
      <c r="L154" s="186"/>
      <c r="M154" s="180"/>
      <c r="N154" s="193"/>
      <c r="O154" s="190"/>
      <c r="P154" s="76"/>
      <c r="Q154" s="76"/>
    </row>
    <row r="155" spans="1:17" s="77" customFormat="1" x14ac:dyDescent="0.3">
      <c r="A155" s="56"/>
      <c r="B155" s="56"/>
      <c r="C155" s="69"/>
      <c r="D155" s="69"/>
      <c r="E155" s="53"/>
      <c r="F155" s="69"/>
      <c r="G155" s="69"/>
      <c r="H155" s="69"/>
      <c r="I155" s="69"/>
      <c r="J155" s="69"/>
      <c r="K155" s="69"/>
      <c r="L155" s="186"/>
      <c r="M155" s="180"/>
      <c r="N155" s="193"/>
      <c r="O155" s="190"/>
      <c r="P155" s="76"/>
      <c r="Q155" s="76"/>
    </row>
    <row r="156" spans="1:17" s="77" customFormat="1" ht="13.5" thickBot="1" x14ac:dyDescent="0.35">
      <c r="A156" s="55"/>
      <c r="B156" s="55"/>
      <c r="C156" s="83"/>
      <c r="D156" s="83"/>
      <c r="E156" s="53">
        <f t="shared" si="30"/>
        <v>0</v>
      </c>
      <c r="F156" s="69"/>
      <c r="G156" s="69"/>
      <c r="H156" s="69"/>
      <c r="I156" s="69"/>
      <c r="J156" s="69"/>
      <c r="K156" s="69"/>
      <c r="L156" s="186"/>
      <c r="M156" s="180"/>
      <c r="N156" s="193"/>
      <c r="O156" s="193"/>
      <c r="P156" s="76"/>
      <c r="Q156" s="76"/>
    </row>
    <row r="157" spans="1:17" s="77" customFormat="1" ht="13.5" thickBot="1" x14ac:dyDescent="0.35">
      <c r="A157" s="57" t="s">
        <v>674</v>
      </c>
      <c r="B157" s="57"/>
      <c r="C157" s="59">
        <f>SUM(C150:C156)</f>
        <v>950000</v>
      </c>
      <c r="D157" s="59">
        <f t="shared" ref="D157:L157" si="31">SUM(D150:D156)</f>
        <v>0</v>
      </c>
      <c r="E157" s="59">
        <f t="shared" si="31"/>
        <v>950000</v>
      </c>
      <c r="F157" s="59">
        <f t="shared" si="31"/>
        <v>0</v>
      </c>
      <c r="G157" s="59">
        <f t="shared" si="31"/>
        <v>950000</v>
      </c>
      <c r="H157" s="59">
        <f t="shared" si="31"/>
        <v>207166.68</v>
      </c>
      <c r="I157" s="59">
        <f t="shared" si="31"/>
        <v>1157166.68</v>
      </c>
      <c r="J157" s="59">
        <f t="shared" si="31"/>
        <v>1600000</v>
      </c>
      <c r="K157" s="59">
        <f t="shared" si="31"/>
        <v>1667200</v>
      </c>
      <c r="L157" s="59">
        <f t="shared" si="31"/>
        <v>1740556.8000000003</v>
      </c>
      <c r="M157" s="180"/>
      <c r="N157" s="193"/>
      <c r="O157" s="193"/>
      <c r="P157" s="76"/>
      <c r="Q157" s="76"/>
    </row>
    <row r="158" spans="1:17" s="77" customFormat="1" ht="13.5" thickTop="1" x14ac:dyDescent="0.3">
      <c r="A158" s="60"/>
      <c r="B158" s="60"/>
      <c r="C158" s="78"/>
      <c r="D158" s="78"/>
      <c r="E158" s="53">
        <f t="shared" si="30"/>
        <v>0</v>
      </c>
      <c r="F158" s="62"/>
      <c r="G158" s="62"/>
      <c r="H158" s="62"/>
      <c r="I158" s="62"/>
      <c r="J158" s="62"/>
      <c r="K158" s="62"/>
      <c r="L158" s="184"/>
      <c r="M158" s="180"/>
      <c r="N158" s="193"/>
      <c r="O158" s="193"/>
      <c r="P158" s="76"/>
      <c r="Q158" s="76"/>
    </row>
    <row r="159" spans="1:17" s="77" customFormat="1" x14ac:dyDescent="0.3">
      <c r="A159" s="51" t="s">
        <v>77</v>
      </c>
      <c r="B159" s="52"/>
      <c r="C159" s="67"/>
      <c r="D159" s="67"/>
      <c r="E159" s="53">
        <f t="shared" si="30"/>
        <v>0</v>
      </c>
      <c r="F159" s="53"/>
      <c r="G159" s="53"/>
      <c r="H159" s="53"/>
      <c r="I159" s="53"/>
      <c r="J159" s="53"/>
      <c r="K159" s="53"/>
      <c r="L159" s="176"/>
      <c r="M159" s="180"/>
      <c r="N159" s="193"/>
      <c r="O159" s="193"/>
      <c r="P159" s="76"/>
      <c r="Q159" s="76"/>
    </row>
    <row r="160" spans="1:17" s="77" customFormat="1" x14ac:dyDescent="0.3">
      <c r="A160" s="52"/>
      <c r="B160" s="52" t="s">
        <v>183</v>
      </c>
      <c r="C160" s="67">
        <v>0</v>
      </c>
      <c r="D160" s="67"/>
      <c r="E160" s="53">
        <f t="shared" si="30"/>
        <v>0</v>
      </c>
      <c r="F160" s="53"/>
      <c r="G160" s="53"/>
      <c r="H160" s="53"/>
      <c r="I160" s="69">
        <f t="shared" ref="I160:I168" si="32">G160+H160</f>
        <v>0</v>
      </c>
      <c r="J160" s="69"/>
      <c r="K160" s="53"/>
      <c r="L160" s="176"/>
      <c r="M160" s="180"/>
      <c r="N160" s="193"/>
      <c r="O160" s="190"/>
      <c r="P160" s="76"/>
      <c r="Q160" s="76"/>
    </row>
    <row r="161" spans="1:17" s="77" customFormat="1" x14ac:dyDescent="0.3">
      <c r="A161" s="52"/>
      <c r="B161" s="52" t="s">
        <v>174</v>
      </c>
      <c r="C161" s="67">
        <v>0</v>
      </c>
      <c r="D161" s="67"/>
      <c r="E161" s="53">
        <f t="shared" si="30"/>
        <v>0</v>
      </c>
      <c r="F161" s="53"/>
      <c r="G161" s="53"/>
      <c r="H161" s="53"/>
      <c r="I161" s="69">
        <f t="shared" si="32"/>
        <v>0</v>
      </c>
      <c r="J161" s="69"/>
      <c r="K161" s="53"/>
      <c r="L161" s="176"/>
      <c r="M161" s="180"/>
      <c r="N161" s="193"/>
      <c r="O161" s="190"/>
      <c r="P161" s="76"/>
      <c r="Q161" s="76"/>
    </row>
    <row r="162" spans="1:17" s="77" customFormat="1" x14ac:dyDescent="0.3">
      <c r="A162" s="52"/>
      <c r="B162" s="52" t="s">
        <v>180</v>
      </c>
      <c r="C162" s="67">
        <v>0</v>
      </c>
      <c r="D162" s="67"/>
      <c r="E162" s="53">
        <f t="shared" si="30"/>
        <v>0</v>
      </c>
      <c r="F162" s="53"/>
      <c r="G162" s="53"/>
      <c r="H162" s="53"/>
      <c r="I162" s="69">
        <f t="shared" si="32"/>
        <v>0</v>
      </c>
      <c r="J162" s="69"/>
      <c r="K162" s="53"/>
      <c r="L162" s="176"/>
      <c r="M162" s="180"/>
      <c r="N162" s="193"/>
      <c r="O162" s="190"/>
      <c r="P162" s="76"/>
      <c r="Q162" s="76"/>
    </row>
    <row r="163" spans="1:17" s="77" customFormat="1" x14ac:dyDescent="0.3">
      <c r="A163" s="52"/>
      <c r="B163" s="52" t="s">
        <v>57</v>
      </c>
      <c r="C163" s="67">
        <v>0</v>
      </c>
      <c r="D163" s="67"/>
      <c r="E163" s="53">
        <f t="shared" si="30"/>
        <v>0</v>
      </c>
      <c r="F163" s="53"/>
      <c r="G163" s="53"/>
      <c r="H163" s="53"/>
      <c r="I163" s="69">
        <f t="shared" si="32"/>
        <v>0</v>
      </c>
      <c r="J163" s="69"/>
      <c r="K163" s="53"/>
      <c r="L163" s="176"/>
      <c r="M163" s="180"/>
      <c r="N163" s="193"/>
      <c r="O163" s="190"/>
      <c r="P163" s="76"/>
      <c r="Q163" s="76"/>
    </row>
    <row r="164" spans="1:17" s="77" customFormat="1" x14ac:dyDescent="0.3">
      <c r="A164" s="52"/>
      <c r="B164" s="52" t="s">
        <v>166</v>
      </c>
      <c r="C164" s="67">
        <v>0</v>
      </c>
      <c r="D164" s="67"/>
      <c r="E164" s="53">
        <f t="shared" si="30"/>
        <v>0</v>
      </c>
      <c r="F164" s="53"/>
      <c r="G164" s="53"/>
      <c r="H164" s="53"/>
      <c r="I164" s="69">
        <f t="shared" si="32"/>
        <v>0</v>
      </c>
      <c r="J164" s="69"/>
      <c r="K164" s="53"/>
      <c r="L164" s="176"/>
      <c r="M164" s="180"/>
      <c r="N164" s="193"/>
      <c r="O164" s="190"/>
      <c r="P164" s="76"/>
      <c r="Q164" s="76"/>
    </row>
    <row r="165" spans="1:17" s="77" customFormat="1" x14ac:dyDescent="0.3">
      <c r="A165" s="52"/>
      <c r="B165" s="52" t="s">
        <v>171</v>
      </c>
      <c r="C165" s="67">
        <v>0</v>
      </c>
      <c r="D165" s="67"/>
      <c r="E165" s="53">
        <f t="shared" si="30"/>
        <v>0</v>
      </c>
      <c r="F165" s="53"/>
      <c r="G165" s="53"/>
      <c r="H165" s="53"/>
      <c r="I165" s="69">
        <f t="shared" si="32"/>
        <v>0</v>
      </c>
      <c r="J165" s="69"/>
      <c r="K165" s="53"/>
      <c r="L165" s="176"/>
      <c r="M165" s="180"/>
      <c r="N165" s="193"/>
      <c r="O165" s="190"/>
      <c r="P165" s="76"/>
      <c r="Q165" s="76"/>
    </row>
    <row r="166" spans="1:17" s="77" customFormat="1" x14ac:dyDescent="0.3">
      <c r="A166" s="52"/>
      <c r="B166" s="52" t="s">
        <v>190</v>
      </c>
      <c r="C166" s="67">
        <v>0</v>
      </c>
      <c r="D166" s="67"/>
      <c r="E166" s="53">
        <f t="shared" si="30"/>
        <v>0</v>
      </c>
      <c r="F166" s="53"/>
      <c r="G166" s="53"/>
      <c r="H166" s="53"/>
      <c r="I166" s="69">
        <f t="shared" si="32"/>
        <v>0</v>
      </c>
      <c r="J166" s="69"/>
      <c r="K166" s="53"/>
      <c r="L166" s="176"/>
      <c r="M166" s="180"/>
      <c r="N166" s="193"/>
      <c r="O166" s="190"/>
      <c r="P166" s="76"/>
      <c r="Q166" s="76"/>
    </row>
    <row r="167" spans="1:17" s="77" customFormat="1" x14ac:dyDescent="0.3">
      <c r="A167" s="52"/>
      <c r="B167" s="52" t="s">
        <v>55</v>
      </c>
      <c r="C167" s="67">
        <v>0</v>
      </c>
      <c r="D167" s="67"/>
      <c r="E167" s="53">
        <f t="shared" si="30"/>
        <v>0</v>
      </c>
      <c r="F167" s="53"/>
      <c r="G167" s="53"/>
      <c r="H167" s="53"/>
      <c r="I167" s="69">
        <f t="shared" si="32"/>
        <v>0</v>
      </c>
      <c r="J167" s="69"/>
      <c r="K167" s="53"/>
      <c r="L167" s="176"/>
      <c r="M167" s="180"/>
      <c r="N167" s="193"/>
      <c r="O167" s="190"/>
      <c r="P167" s="76"/>
      <c r="Q167" s="76"/>
    </row>
    <row r="168" spans="1:17" s="77" customFormat="1" x14ac:dyDescent="0.3">
      <c r="A168" s="52"/>
      <c r="B168" s="52" t="s">
        <v>177</v>
      </c>
      <c r="C168" s="67">
        <v>0</v>
      </c>
      <c r="D168" s="67"/>
      <c r="E168" s="53">
        <f t="shared" si="30"/>
        <v>0</v>
      </c>
      <c r="F168" s="53"/>
      <c r="G168" s="53"/>
      <c r="H168" s="53"/>
      <c r="I168" s="69">
        <f t="shared" si="32"/>
        <v>0</v>
      </c>
      <c r="J168" s="69"/>
      <c r="K168" s="53"/>
      <c r="L168" s="176"/>
      <c r="M168" s="180"/>
      <c r="N168" s="193"/>
      <c r="O168" s="190"/>
      <c r="P168" s="76"/>
      <c r="Q168" s="76"/>
    </row>
    <row r="169" spans="1:17" s="77" customFormat="1" ht="13.5" thickBot="1" x14ac:dyDescent="0.35">
      <c r="A169" s="55"/>
      <c r="B169" s="55"/>
      <c r="C169" s="83"/>
      <c r="D169" s="83"/>
      <c r="E169" s="69">
        <f t="shared" si="30"/>
        <v>0</v>
      </c>
      <c r="F169" s="69"/>
      <c r="G169" s="69"/>
      <c r="H169" s="69"/>
      <c r="I169" s="69"/>
      <c r="J169" s="69"/>
      <c r="K169" s="69"/>
      <c r="L169" s="186"/>
      <c r="M169" s="180"/>
      <c r="N169" s="193"/>
      <c r="O169" s="193"/>
      <c r="P169" s="76"/>
      <c r="Q169" s="76"/>
    </row>
    <row r="170" spans="1:17" s="77" customFormat="1" ht="13.5" thickBot="1" x14ac:dyDescent="0.35">
      <c r="A170" s="57" t="s">
        <v>201</v>
      </c>
      <c r="B170" s="57"/>
      <c r="C170" s="59"/>
      <c r="D170" s="59"/>
      <c r="E170" s="154">
        <f t="shared" si="30"/>
        <v>0</v>
      </c>
      <c r="F170" s="154">
        <f t="shared" ref="F170" si="33">D170+E170</f>
        <v>0</v>
      </c>
      <c r="G170" s="154">
        <f t="shared" ref="G170" si="34">E170+F170</f>
        <v>0</v>
      </c>
      <c r="H170" s="154">
        <f t="shared" ref="H170" si="35">F170+G170</f>
        <v>0</v>
      </c>
      <c r="I170" s="154">
        <f>G170+H170</f>
        <v>0</v>
      </c>
      <c r="J170" s="154">
        <f t="shared" ref="J170:L170" si="36">H170+I170</f>
        <v>0</v>
      </c>
      <c r="K170" s="154">
        <f t="shared" si="36"/>
        <v>0</v>
      </c>
      <c r="L170" s="154">
        <f t="shared" si="36"/>
        <v>0</v>
      </c>
      <c r="M170" s="179"/>
      <c r="N170" s="190"/>
      <c r="O170" s="190"/>
      <c r="P170" s="76"/>
      <c r="Q170" s="76"/>
    </row>
    <row r="171" spans="1:17" s="77" customFormat="1" ht="14" thickTop="1" thickBot="1" x14ac:dyDescent="0.35">
      <c r="A171" s="70" t="s">
        <v>687</v>
      </c>
      <c r="B171" s="70"/>
      <c r="C171" s="72">
        <f>C170+C157</f>
        <v>950000</v>
      </c>
      <c r="D171" s="72">
        <f>D170+D157</f>
        <v>0</v>
      </c>
      <c r="E171" s="72">
        <f>E170+E157</f>
        <v>950000</v>
      </c>
      <c r="F171" s="72">
        <f t="shared" ref="F171:L171" si="37">F170+F157</f>
        <v>0</v>
      </c>
      <c r="G171" s="72">
        <f t="shared" si="37"/>
        <v>950000</v>
      </c>
      <c r="H171" s="72">
        <f t="shared" si="37"/>
        <v>207166.68</v>
      </c>
      <c r="I171" s="72">
        <f t="shared" si="37"/>
        <v>1157166.68</v>
      </c>
      <c r="J171" s="72">
        <f t="shared" si="37"/>
        <v>1600000</v>
      </c>
      <c r="K171" s="72">
        <f t="shared" si="37"/>
        <v>1667200</v>
      </c>
      <c r="L171" s="72">
        <f t="shared" si="37"/>
        <v>1740556.8000000003</v>
      </c>
      <c r="M171" s="180"/>
      <c r="N171" s="193"/>
      <c r="O171" s="193"/>
      <c r="P171" s="76"/>
      <c r="Q171" s="76"/>
    </row>
    <row r="172" spans="1:17" s="77" customFormat="1" ht="13.5" thickTop="1" x14ac:dyDescent="0.3">
      <c r="A172" s="60"/>
      <c r="B172" s="60"/>
      <c r="C172" s="78"/>
      <c r="D172" s="78"/>
      <c r="E172" s="53">
        <f t="shared" si="30"/>
        <v>0</v>
      </c>
      <c r="F172" s="62"/>
      <c r="G172" s="62"/>
      <c r="H172" s="62"/>
      <c r="I172" s="62"/>
      <c r="J172" s="62"/>
      <c r="K172" s="62"/>
      <c r="L172" s="184"/>
      <c r="M172" s="180"/>
      <c r="N172" s="193"/>
      <c r="O172" s="193"/>
      <c r="P172" s="76"/>
      <c r="Q172" s="76"/>
    </row>
    <row r="173" spans="1:17" s="77" customFormat="1" x14ac:dyDescent="0.3">
      <c r="A173" s="60" t="s">
        <v>862</v>
      </c>
      <c r="B173" s="60"/>
      <c r="C173" s="78"/>
      <c r="D173" s="78"/>
      <c r="E173" s="53">
        <f t="shared" si="30"/>
        <v>0</v>
      </c>
      <c r="F173" s="62"/>
      <c r="G173" s="62"/>
      <c r="H173" s="62"/>
      <c r="I173" s="62"/>
      <c r="J173" s="62"/>
      <c r="K173" s="62"/>
      <c r="L173" s="184"/>
      <c r="M173" s="180"/>
      <c r="N173" s="193"/>
      <c r="O173" s="193"/>
      <c r="P173" s="76"/>
      <c r="Q173" s="76"/>
    </row>
    <row r="174" spans="1:17" s="77" customFormat="1" x14ac:dyDescent="0.3">
      <c r="A174" s="60"/>
      <c r="B174" s="60"/>
      <c r="C174" s="78"/>
      <c r="D174" s="78"/>
      <c r="E174" s="53">
        <f t="shared" si="30"/>
        <v>0</v>
      </c>
      <c r="F174" s="62"/>
      <c r="G174" s="62"/>
      <c r="H174" s="62"/>
      <c r="I174" s="62"/>
      <c r="J174" s="62"/>
      <c r="K174" s="62"/>
      <c r="L174" s="184"/>
      <c r="M174" s="180"/>
      <c r="N174" s="193"/>
      <c r="O174" s="193"/>
      <c r="P174" s="76"/>
      <c r="Q174" s="76"/>
    </row>
    <row r="175" spans="1:17" s="77" customFormat="1" x14ac:dyDescent="0.3">
      <c r="A175" s="50" t="s">
        <v>73</v>
      </c>
      <c r="B175" s="60"/>
      <c r="C175" s="78"/>
      <c r="D175" s="78"/>
      <c r="E175" s="53"/>
      <c r="F175" s="62"/>
      <c r="G175" s="62"/>
      <c r="H175" s="62"/>
      <c r="I175" s="62"/>
      <c r="J175" s="62"/>
      <c r="K175" s="62"/>
      <c r="L175" s="184"/>
      <c r="M175" s="180"/>
      <c r="N175" s="193"/>
      <c r="O175" s="193"/>
      <c r="P175" s="76"/>
      <c r="Q175" s="76"/>
    </row>
    <row r="176" spans="1:17" s="77" customFormat="1" x14ac:dyDescent="0.3">
      <c r="A176" s="51" t="s">
        <v>72</v>
      </c>
      <c r="B176" s="60"/>
      <c r="C176" s="78"/>
      <c r="D176" s="78"/>
      <c r="E176" s="53"/>
      <c r="F176" s="62"/>
      <c r="G176" s="62"/>
      <c r="H176" s="62"/>
      <c r="I176" s="62"/>
      <c r="J176" s="62"/>
      <c r="K176" s="62"/>
      <c r="L176" s="184"/>
      <c r="M176" s="180"/>
      <c r="N176" s="193"/>
      <c r="O176" s="193"/>
      <c r="P176" s="76"/>
      <c r="Q176" s="76"/>
    </row>
    <row r="177" spans="1:17" s="77" customFormat="1" x14ac:dyDescent="0.3">
      <c r="A177" s="74" t="s">
        <v>1310</v>
      </c>
      <c r="B177" s="73" t="s">
        <v>23</v>
      </c>
      <c r="C177" s="80"/>
      <c r="D177" s="80"/>
      <c r="E177" s="69"/>
      <c r="F177" s="79">
        <v>-29777000</v>
      </c>
      <c r="G177" s="53">
        <f>E177+F177</f>
        <v>-29777000</v>
      </c>
      <c r="H177" s="79"/>
      <c r="I177" s="69">
        <f>G177+H177</f>
        <v>-29777000</v>
      </c>
      <c r="J177" s="79"/>
      <c r="K177" s="79"/>
      <c r="L177" s="179"/>
      <c r="M177" s="180"/>
      <c r="N177" s="193"/>
      <c r="O177" s="190"/>
      <c r="P177" s="76"/>
      <c r="Q177" s="76"/>
    </row>
    <row r="178" spans="1:17" ht="13.5" thickBot="1" x14ac:dyDescent="0.35">
      <c r="A178" s="84" t="s">
        <v>1234</v>
      </c>
      <c r="B178" s="84" t="s">
        <v>1223</v>
      </c>
      <c r="C178" s="114"/>
      <c r="D178" s="114">
        <v>-745000</v>
      </c>
      <c r="E178" s="114">
        <f t="shared" si="30"/>
        <v>-745000</v>
      </c>
      <c r="F178" s="114"/>
      <c r="G178" s="53">
        <f>E178+F178</f>
        <v>-745000</v>
      </c>
      <c r="H178" s="69"/>
      <c r="I178" s="69">
        <f>G178+H178</f>
        <v>-745000</v>
      </c>
      <c r="J178" s="69"/>
      <c r="K178" s="114"/>
      <c r="L178" s="209"/>
    </row>
    <row r="179" spans="1:17" ht="13.5" thickBot="1" x14ac:dyDescent="0.35">
      <c r="A179" s="57" t="s">
        <v>1224</v>
      </c>
      <c r="B179" s="57"/>
      <c r="C179" s="59">
        <f>SUM(C178)</f>
        <v>0</v>
      </c>
      <c r="D179" s="59">
        <f>SUM(D178)</f>
        <v>-745000</v>
      </c>
      <c r="E179" s="59">
        <f>SUM(E177:E178)</f>
        <v>-745000</v>
      </c>
      <c r="F179" s="59">
        <f t="shared" ref="F179:L179" si="38">SUM(F177:F178)</f>
        <v>-29777000</v>
      </c>
      <c r="G179" s="59">
        <f t="shared" si="38"/>
        <v>-30522000</v>
      </c>
      <c r="H179" s="59">
        <f t="shared" si="38"/>
        <v>0</v>
      </c>
      <c r="I179" s="59">
        <f t="shared" si="38"/>
        <v>-30522000</v>
      </c>
      <c r="J179" s="59">
        <f t="shared" si="38"/>
        <v>0</v>
      </c>
      <c r="K179" s="59">
        <f t="shared" si="38"/>
        <v>0</v>
      </c>
      <c r="L179" s="59">
        <f t="shared" si="38"/>
        <v>0</v>
      </c>
      <c r="M179" s="180"/>
      <c r="N179" s="193"/>
      <c r="O179" s="193"/>
    </row>
    <row r="180" spans="1:17" s="77" customFormat="1" ht="13.5" thickTop="1" x14ac:dyDescent="0.3">
      <c r="A180" s="60"/>
      <c r="B180" s="60"/>
      <c r="C180" s="78"/>
      <c r="D180" s="78"/>
      <c r="E180" s="62"/>
      <c r="F180" s="62"/>
      <c r="G180" s="62"/>
      <c r="H180" s="62"/>
      <c r="I180" s="62"/>
      <c r="J180" s="62"/>
      <c r="K180" s="62"/>
      <c r="L180" s="184"/>
      <c r="M180" s="180"/>
      <c r="N180" s="193"/>
      <c r="O180" s="193"/>
      <c r="P180" s="76"/>
      <c r="Q180" s="76"/>
    </row>
    <row r="181" spans="1:17" x14ac:dyDescent="0.3">
      <c r="A181" s="61" t="s">
        <v>1061</v>
      </c>
      <c r="B181" s="61" t="s">
        <v>861</v>
      </c>
      <c r="C181" s="62">
        <v>1000000</v>
      </c>
      <c r="D181" s="62">
        <v>-100000</v>
      </c>
      <c r="E181" s="53">
        <f t="shared" si="30"/>
        <v>900000</v>
      </c>
      <c r="F181" s="53"/>
      <c r="G181" s="53">
        <f>E181+F181</f>
        <v>900000</v>
      </c>
      <c r="H181" s="53">
        <v>107000</v>
      </c>
      <c r="I181" s="69">
        <f>G181+H181</f>
        <v>1007000</v>
      </c>
      <c r="J181" s="69">
        <v>600000</v>
      </c>
      <c r="K181" s="53">
        <f>J181*104.2%</f>
        <v>625200</v>
      </c>
      <c r="L181" s="176">
        <f>K181*104.4%</f>
        <v>652708.80000000005</v>
      </c>
    </row>
    <row r="182" spans="1:17" s="77" customFormat="1" x14ac:dyDescent="0.3">
      <c r="A182" s="52" t="s">
        <v>1233</v>
      </c>
      <c r="B182" s="52" t="s">
        <v>1225</v>
      </c>
      <c r="C182" s="67"/>
      <c r="D182" s="53">
        <v>745000</v>
      </c>
      <c r="E182" s="53">
        <f t="shared" si="30"/>
        <v>745000</v>
      </c>
      <c r="F182" s="53"/>
      <c r="G182" s="53">
        <f>E182+F182</f>
        <v>745000</v>
      </c>
      <c r="H182" s="53"/>
      <c r="I182" s="69">
        <f>G182+H182</f>
        <v>745000</v>
      </c>
      <c r="J182" s="69"/>
      <c r="K182" s="53">
        <f>J182*104.2%</f>
        <v>0</v>
      </c>
      <c r="L182" s="176">
        <f>K182*104.4%</f>
        <v>0</v>
      </c>
      <c r="M182" s="180"/>
      <c r="N182" s="193"/>
      <c r="O182" s="190"/>
      <c r="P182" s="76"/>
      <c r="Q182" s="76"/>
    </row>
    <row r="183" spans="1:17" x14ac:dyDescent="0.3">
      <c r="A183" s="52" t="s">
        <v>1339</v>
      </c>
      <c r="B183" s="52" t="s">
        <v>1340</v>
      </c>
      <c r="C183" s="53"/>
      <c r="D183" s="53"/>
      <c r="E183" s="53"/>
      <c r="F183" s="53"/>
      <c r="G183" s="53">
        <f>E183+F183</f>
        <v>0</v>
      </c>
      <c r="H183" s="53">
        <f>60000+45000</f>
        <v>105000</v>
      </c>
      <c r="I183" s="69">
        <f>G183+H183</f>
        <v>105000</v>
      </c>
      <c r="J183" s="69">
        <v>200000</v>
      </c>
      <c r="K183" s="53">
        <f>J183*104.2%</f>
        <v>208400</v>
      </c>
      <c r="L183" s="176">
        <f>K183*104.4%</f>
        <v>217569.6</v>
      </c>
    </row>
    <row r="184" spans="1:17" s="77" customFormat="1" x14ac:dyDescent="0.3">
      <c r="A184" s="52" t="s">
        <v>1288</v>
      </c>
      <c r="B184" s="52" t="s">
        <v>1291</v>
      </c>
      <c r="C184" s="67"/>
      <c r="D184" s="53"/>
      <c r="E184" s="53"/>
      <c r="F184" s="53">
        <v>1500000</v>
      </c>
      <c r="G184" s="53">
        <f>E184+F184</f>
        <v>1500000</v>
      </c>
      <c r="H184" s="53"/>
      <c r="I184" s="69">
        <f>G184+H184</f>
        <v>1500000</v>
      </c>
      <c r="J184" s="69"/>
      <c r="K184" s="53">
        <f>J184*104.2%</f>
        <v>0</v>
      </c>
      <c r="L184" s="176">
        <f>K184*104.4%</f>
        <v>0</v>
      </c>
      <c r="M184" s="180"/>
      <c r="N184" s="193"/>
      <c r="O184" s="190"/>
      <c r="P184" s="76"/>
      <c r="Q184" s="76"/>
    </row>
    <row r="185" spans="1:17" s="77" customFormat="1" x14ac:dyDescent="0.3">
      <c r="A185" s="52"/>
      <c r="B185" s="52"/>
      <c r="C185" s="67"/>
      <c r="D185" s="53"/>
      <c r="E185" s="53"/>
      <c r="F185" s="53"/>
      <c r="G185" s="53">
        <f>E185+F185</f>
        <v>0</v>
      </c>
      <c r="H185" s="53"/>
      <c r="I185" s="69">
        <f>G185+H185</f>
        <v>0</v>
      </c>
      <c r="J185" s="69"/>
      <c r="K185" s="53"/>
      <c r="L185" s="176"/>
      <c r="M185" s="180"/>
      <c r="N185" s="193"/>
      <c r="O185" s="190"/>
      <c r="P185" s="76"/>
      <c r="Q185" s="76"/>
    </row>
    <row r="186" spans="1:17" s="77" customFormat="1" ht="13.5" thickBot="1" x14ac:dyDescent="0.35">
      <c r="A186" s="84"/>
      <c r="B186" s="84"/>
      <c r="C186" s="159"/>
      <c r="D186" s="114"/>
      <c r="E186" s="114"/>
      <c r="F186" s="114"/>
      <c r="G186" s="114"/>
      <c r="H186" s="114"/>
      <c r="I186" s="114"/>
      <c r="J186" s="114"/>
      <c r="K186" s="114"/>
      <c r="L186" s="209"/>
      <c r="M186" s="180"/>
      <c r="N186" s="193"/>
      <c r="O186" s="193"/>
      <c r="P186" s="76"/>
      <c r="Q186" s="76"/>
    </row>
    <row r="187" spans="1:17" s="77" customFormat="1" ht="13.5" thickBot="1" x14ac:dyDescent="0.35">
      <c r="A187" s="57" t="s">
        <v>674</v>
      </c>
      <c r="B187" s="57"/>
      <c r="C187" s="59">
        <f>SUM(C181:C182)</f>
        <v>1000000</v>
      </c>
      <c r="D187" s="59">
        <f>SUM(D181:D182)</f>
        <v>645000</v>
      </c>
      <c r="E187" s="59">
        <f>SUM(E181:E186)</f>
        <v>1645000</v>
      </c>
      <c r="F187" s="59">
        <f>SUM(F181:F186)</f>
        <v>1500000</v>
      </c>
      <c r="G187" s="59">
        <f>SUM(G181:G186)</f>
        <v>3145000</v>
      </c>
      <c r="H187" s="59">
        <f t="shared" ref="H187:L187" si="39">SUM(H181:H186)</f>
        <v>212000</v>
      </c>
      <c r="I187" s="59">
        <f t="shared" si="39"/>
        <v>3357000</v>
      </c>
      <c r="J187" s="59">
        <f t="shared" si="39"/>
        <v>800000</v>
      </c>
      <c r="K187" s="59">
        <f t="shared" si="39"/>
        <v>833600</v>
      </c>
      <c r="L187" s="59">
        <f t="shared" si="39"/>
        <v>870278.4</v>
      </c>
      <c r="M187" s="180"/>
      <c r="N187" s="193"/>
      <c r="O187" s="193"/>
      <c r="P187" s="76"/>
      <c r="Q187" s="76"/>
    </row>
    <row r="188" spans="1:17" s="77" customFormat="1" ht="13.5" thickTop="1" x14ac:dyDescent="0.3">
      <c r="A188" s="60"/>
      <c r="B188" s="60"/>
      <c r="C188" s="78"/>
      <c r="D188" s="78"/>
      <c r="E188" s="53">
        <f t="shared" si="30"/>
        <v>0</v>
      </c>
      <c r="F188" s="62"/>
      <c r="G188" s="62"/>
      <c r="H188" s="62"/>
      <c r="I188" s="62"/>
      <c r="J188" s="62"/>
      <c r="K188" s="62"/>
      <c r="L188" s="184"/>
      <c r="M188" s="180"/>
      <c r="N188" s="193"/>
      <c r="O188" s="193"/>
      <c r="P188" s="76"/>
      <c r="Q188" s="76"/>
    </row>
    <row r="189" spans="1:17" s="77" customFormat="1" x14ac:dyDescent="0.3">
      <c r="A189" s="51" t="s">
        <v>77</v>
      </c>
      <c r="B189" s="52"/>
      <c r="C189" s="78"/>
      <c r="D189" s="78"/>
      <c r="E189" s="53">
        <f t="shared" si="30"/>
        <v>0</v>
      </c>
      <c r="F189" s="62"/>
      <c r="G189" s="62"/>
      <c r="H189" s="62"/>
      <c r="I189" s="62"/>
      <c r="J189" s="62"/>
      <c r="K189" s="62"/>
      <c r="L189" s="184"/>
      <c r="M189" s="180"/>
      <c r="N189" s="193"/>
      <c r="O189" s="193"/>
      <c r="P189" s="76"/>
      <c r="Q189" s="76"/>
    </row>
    <row r="190" spans="1:17" s="77" customFormat="1" x14ac:dyDescent="0.3">
      <c r="A190" s="52"/>
      <c r="B190" s="52" t="s">
        <v>183</v>
      </c>
      <c r="C190" s="78"/>
      <c r="D190" s="78"/>
      <c r="E190" s="53">
        <f t="shared" si="30"/>
        <v>0</v>
      </c>
      <c r="F190" s="62"/>
      <c r="G190" s="53">
        <f t="shared" ref="G190:G199" si="40">E190+F190</f>
        <v>0</v>
      </c>
      <c r="H190" s="62"/>
      <c r="I190" s="53">
        <f t="shared" ref="I190:I199" si="41">G190+H190</f>
        <v>0</v>
      </c>
      <c r="J190" s="53"/>
      <c r="K190" s="53"/>
      <c r="L190" s="184"/>
      <c r="M190" s="180"/>
      <c r="N190" s="193"/>
      <c r="O190" s="190"/>
      <c r="P190" s="76"/>
      <c r="Q190" s="76"/>
    </row>
    <row r="191" spans="1:17" s="77" customFormat="1" x14ac:dyDescent="0.3">
      <c r="A191" s="52"/>
      <c r="B191" s="52" t="s">
        <v>174</v>
      </c>
      <c r="C191" s="78"/>
      <c r="D191" s="78"/>
      <c r="E191" s="53">
        <f t="shared" si="30"/>
        <v>0</v>
      </c>
      <c r="F191" s="62"/>
      <c r="G191" s="53">
        <f t="shared" si="40"/>
        <v>0</v>
      </c>
      <c r="H191" s="62"/>
      <c r="I191" s="53">
        <f t="shared" si="41"/>
        <v>0</v>
      </c>
      <c r="J191" s="53"/>
      <c r="K191" s="53"/>
      <c r="L191" s="184"/>
      <c r="M191" s="180"/>
      <c r="N191" s="193"/>
      <c r="O191" s="190"/>
      <c r="P191" s="76"/>
      <c r="Q191" s="76"/>
    </row>
    <row r="192" spans="1:17" s="77" customFormat="1" x14ac:dyDescent="0.3">
      <c r="A192" s="52"/>
      <c r="B192" s="52" t="s">
        <v>180</v>
      </c>
      <c r="C192" s="78"/>
      <c r="D192" s="78"/>
      <c r="E192" s="53">
        <f t="shared" si="30"/>
        <v>0</v>
      </c>
      <c r="F192" s="62"/>
      <c r="G192" s="53">
        <f t="shared" si="40"/>
        <v>0</v>
      </c>
      <c r="H192" s="62"/>
      <c r="I192" s="53">
        <f t="shared" si="41"/>
        <v>0</v>
      </c>
      <c r="J192" s="53"/>
      <c r="K192" s="53"/>
      <c r="L192" s="184"/>
      <c r="M192" s="180"/>
      <c r="N192" s="193"/>
      <c r="O192" s="190"/>
      <c r="P192" s="76"/>
      <c r="Q192" s="76"/>
    </row>
    <row r="193" spans="1:17" s="77" customFormat="1" x14ac:dyDescent="0.3">
      <c r="A193" s="52"/>
      <c r="B193" s="52" t="s">
        <v>57</v>
      </c>
      <c r="C193" s="78"/>
      <c r="D193" s="78"/>
      <c r="E193" s="53">
        <f t="shared" si="30"/>
        <v>0</v>
      </c>
      <c r="F193" s="62"/>
      <c r="G193" s="53">
        <f t="shared" si="40"/>
        <v>0</v>
      </c>
      <c r="H193" s="62"/>
      <c r="I193" s="53">
        <f t="shared" si="41"/>
        <v>0</v>
      </c>
      <c r="J193" s="53"/>
      <c r="K193" s="53"/>
      <c r="L193" s="184"/>
      <c r="M193" s="180"/>
      <c r="N193" s="193"/>
      <c r="O193" s="190"/>
      <c r="P193" s="76"/>
      <c r="Q193" s="76"/>
    </row>
    <row r="194" spans="1:17" s="77" customFormat="1" x14ac:dyDescent="0.3">
      <c r="A194" s="52"/>
      <c r="B194" s="52" t="s">
        <v>166</v>
      </c>
      <c r="C194" s="78"/>
      <c r="D194" s="78"/>
      <c r="E194" s="53">
        <f t="shared" si="30"/>
        <v>0</v>
      </c>
      <c r="F194" s="62"/>
      <c r="G194" s="53">
        <f t="shared" si="40"/>
        <v>0</v>
      </c>
      <c r="H194" s="62"/>
      <c r="I194" s="53">
        <f t="shared" si="41"/>
        <v>0</v>
      </c>
      <c r="J194" s="53"/>
      <c r="K194" s="53"/>
      <c r="L194" s="184"/>
      <c r="M194" s="180"/>
      <c r="N194" s="193"/>
      <c r="O194" s="190"/>
      <c r="P194" s="76"/>
      <c r="Q194" s="76"/>
    </row>
    <row r="195" spans="1:17" s="77" customFormat="1" x14ac:dyDescent="0.3">
      <c r="A195" s="52"/>
      <c r="B195" s="52" t="s">
        <v>171</v>
      </c>
      <c r="C195" s="78"/>
      <c r="D195" s="78"/>
      <c r="E195" s="53">
        <f t="shared" si="30"/>
        <v>0</v>
      </c>
      <c r="F195" s="62"/>
      <c r="G195" s="53">
        <f t="shared" si="40"/>
        <v>0</v>
      </c>
      <c r="H195" s="62"/>
      <c r="I195" s="53">
        <f t="shared" si="41"/>
        <v>0</v>
      </c>
      <c r="J195" s="53"/>
      <c r="K195" s="53"/>
      <c r="L195" s="184"/>
      <c r="M195" s="180"/>
      <c r="N195" s="193"/>
      <c r="O195" s="190"/>
      <c r="P195" s="76"/>
      <c r="Q195" s="76"/>
    </row>
    <row r="196" spans="1:17" s="77" customFormat="1" x14ac:dyDescent="0.3">
      <c r="A196" s="52"/>
      <c r="B196" s="52" t="s">
        <v>190</v>
      </c>
      <c r="C196" s="78"/>
      <c r="D196" s="78"/>
      <c r="E196" s="53">
        <f t="shared" si="30"/>
        <v>0</v>
      </c>
      <c r="F196" s="62"/>
      <c r="G196" s="53">
        <f t="shared" si="40"/>
        <v>0</v>
      </c>
      <c r="H196" s="62"/>
      <c r="I196" s="53">
        <f t="shared" si="41"/>
        <v>0</v>
      </c>
      <c r="J196" s="53"/>
      <c r="K196" s="53"/>
      <c r="L196" s="184"/>
      <c r="M196" s="180"/>
      <c r="N196" s="193"/>
      <c r="O196" s="190"/>
      <c r="P196" s="76"/>
      <c r="Q196" s="76"/>
    </row>
    <row r="197" spans="1:17" s="77" customFormat="1" x14ac:dyDescent="0.3">
      <c r="A197" s="52"/>
      <c r="B197" s="52" t="s">
        <v>55</v>
      </c>
      <c r="C197" s="78"/>
      <c r="D197" s="78"/>
      <c r="E197" s="53">
        <f t="shared" si="30"/>
        <v>0</v>
      </c>
      <c r="F197" s="62"/>
      <c r="G197" s="53">
        <f t="shared" si="40"/>
        <v>0</v>
      </c>
      <c r="H197" s="62"/>
      <c r="I197" s="53">
        <f t="shared" si="41"/>
        <v>0</v>
      </c>
      <c r="J197" s="53"/>
      <c r="K197" s="53"/>
      <c r="L197" s="184"/>
      <c r="M197" s="180"/>
      <c r="N197" s="193"/>
      <c r="O197" s="190"/>
      <c r="P197" s="76"/>
      <c r="Q197" s="76"/>
    </row>
    <row r="198" spans="1:17" s="77" customFormat="1" x14ac:dyDescent="0.3">
      <c r="A198" s="52"/>
      <c r="B198" s="52" t="s">
        <v>177</v>
      </c>
      <c r="C198" s="78"/>
      <c r="D198" s="78"/>
      <c r="E198" s="53">
        <f t="shared" si="30"/>
        <v>0</v>
      </c>
      <c r="F198" s="62"/>
      <c r="G198" s="53">
        <f t="shared" si="40"/>
        <v>0</v>
      </c>
      <c r="H198" s="62"/>
      <c r="I198" s="53">
        <f t="shared" si="41"/>
        <v>0</v>
      </c>
      <c r="J198" s="53"/>
      <c r="K198" s="53"/>
      <c r="L198" s="184"/>
      <c r="M198" s="180"/>
      <c r="N198" s="193"/>
      <c r="O198" s="190"/>
      <c r="P198" s="76"/>
      <c r="Q198" s="76"/>
    </row>
    <row r="199" spans="1:17" s="77" customFormat="1" ht="13.5" thickBot="1" x14ac:dyDescent="0.35">
      <c r="A199" s="56" t="s">
        <v>1287</v>
      </c>
      <c r="B199" s="56" t="s">
        <v>1290</v>
      </c>
      <c r="C199" s="80"/>
      <c r="D199" s="80"/>
      <c r="E199" s="53">
        <f t="shared" si="30"/>
        <v>0</v>
      </c>
      <c r="F199" s="79">
        <v>250000</v>
      </c>
      <c r="G199" s="53">
        <f t="shared" si="40"/>
        <v>250000</v>
      </c>
      <c r="H199" s="79"/>
      <c r="I199" s="114">
        <f t="shared" si="41"/>
        <v>250000</v>
      </c>
      <c r="J199" s="114"/>
      <c r="K199" s="114"/>
      <c r="L199" s="179"/>
      <c r="M199" s="180"/>
      <c r="N199" s="193"/>
      <c r="O199" s="190"/>
      <c r="P199" s="76"/>
      <c r="Q199" s="76"/>
    </row>
    <row r="200" spans="1:17" s="77" customFormat="1" ht="13.5" thickBot="1" x14ac:dyDescent="0.35">
      <c r="A200" s="57" t="s">
        <v>201</v>
      </c>
      <c r="B200" s="57"/>
      <c r="C200" s="59">
        <f>SUM(C190:C198)</f>
        <v>0</v>
      </c>
      <c r="D200" s="59">
        <f t="shared" ref="D200" si="42">SUM(D190:D198)</f>
        <v>0</v>
      </c>
      <c r="E200" s="59">
        <f>SUM(E190:E199)</f>
        <v>0</v>
      </c>
      <c r="F200" s="59">
        <f t="shared" ref="F200:L200" si="43">SUM(F190:F199)</f>
        <v>250000</v>
      </c>
      <c r="G200" s="59">
        <f t="shared" si="43"/>
        <v>250000</v>
      </c>
      <c r="H200" s="59">
        <f t="shared" si="43"/>
        <v>0</v>
      </c>
      <c r="I200" s="59">
        <f t="shared" si="43"/>
        <v>250000</v>
      </c>
      <c r="J200" s="59">
        <f t="shared" si="43"/>
        <v>0</v>
      </c>
      <c r="K200" s="59">
        <f t="shared" si="43"/>
        <v>0</v>
      </c>
      <c r="L200" s="59">
        <f t="shared" si="43"/>
        <v>0</v>
      </c>
      <c r="M200" s="180"/>
      <c r="N200" s="193"/>
      <c r="O200" s="193"/>
      <c r="P200" s="76"/>
      <c r="Q200" s="76"/>
    </row>
    <row r="201" spans="1:17" s="77" customFormat="1" ht="14" thickTop="1" thickBot="1" x14ac:dyDescent="0.35">
      <c r="A201" s="149"/>
      <c r="B201" s="74"/>
      <c r="C201" s="80"/>
      <c r="D201" s="80"/>
      <c r="E201" s="69"/>
      <c r="F201" s="79"/>
      <c r="G201" s="79"/>
      <c r="H201" s="79"/>
      <c r="I201" s="79"/>
      <c r="J201" s="79"/>
      <c r="K201" s="79"/>
      <c r="L201" s="179"/>
      <c r="M201" s="180"/>
      <c r="N201" s="193"/>
      <c r="O201" s="193"/>
      <c r="P201" s="76"/>
      <c r="Q201" s="76"/>
    </row>
    <row r="202" spans="1:17" s="77" customFormat="1" ht="13.5" thickBot="1" x14ac:dyDescent="0.35">
      <c r="A202" s="70" t="s">
        <v>1226</v>
      </c>
      <c r="B202" s="70"/>
      <c r="C202" s="72">
        <f>C200+C187</f>
        <v>1000000</v>
      </c>
      <c r="D202" s="72">
        <f t="shared" ref="D202:L202" si="44">D200+D187</f>
        <v>645000</v>
      </c>
      <c r="E202" s="72">
        <f t="shared" si="44"/>
        <v>1645000</v>
      </c>
      <c r="F202" s="72">
        <f t="shared" si="44"/>
        <v>1750000</v>
      </c>
      <c r="G202" s="72">
        <f t="shared" si="44"/>
        <v>3395000</v>
      </c>
      <c r="H202" s="72">
        <f t="shared" si="44"/>
        <v>212000</v>
      </c>
      <c r="I202" s="72">
        <f t="shared" si="44"/>
        <v>3607000</v>
      </c>
      <c r="J202" s="72">
        <f t="shared" si="44"/>
        <v>800000</v>
      </c>
      <c r="K202" s="72">
        <f t="shared" si="44"/>
        <v>833600</v>
      </c>
      <c r="L202" s="72">
        <f t="shared" si="44"/>
        <v>870278.4</v>
      </c>
      <c r="M202" s="180"/>
      <c r="N202" s="193"/>
      <c r="O202" s="193"/>
      <c r="P202" s="76"/>
      <c r="Q202" s="76"/>
    </row>
    <row r="203" spans="1:17" s="77" customFormat="1" ht="13.5" thickTop="1" x14ac:dyDescent="0.3">
      <c r="A203" s="60"/>
      <c r="B203" s="60"/>
      <c r="C203" s="78"/>
      <c r="D203" s="78"/>
      <c r="E203" s="62"/>
      <c r="F203" s="62"/>
      <c r="G203" s="62"/>
      <c r="H203" s="62"/>
      <c r="I203" s="62"/>
      <c r="J203" s="62"/>
      <c r="K203" s="62"/>
      <c r="L203" s="184"/>
      <c r="M203" s="180"/>
      <c r="N203" s="193"/>
      <c r="O203" s="193"/>
      <c r="P203" s="76"/>
      <c r="Q203" s="76"/>
    </row>
    <row r="204" spans="1:17" s="77" customFormat="1" x14ac:dyDescent="0.3">
      <c r="A204" s="51" t="s">
        <v>688</v>
      </c>
      <c r="B204" s="51"/>
      <c r="C204" s="67"/>
      <c r="D204" s="67"/>
      <c r="E204" s="53">
        <f t="shared" si="30"/>
        <v>0</v>
      </c>
      <c r="F204" s="53"/>
      <c r="G204" s="53"/>
      <c r="H204" s="53"/>
      <c r="I204" s="53"/>
      <c r="J204" s="53"/>
      <c r="K204" s="53"/>
      <c r="L204" s="176"/>
      <c r="M204" s="180"/>
      <c r="N204" s="193"/>
      <c r="O204" s="193"/>
      <c r="P204" s="76"/>
      <c r="Q204" s="76"/>
    </row>
    <row r="205" spans="1:17" s="77" customFormat="1" x14ac:dyDescent="0.3">
      <c r="A205" s="51"/>
      <c r="B205" s="51"/>
      <c r="C205" s="67"/>
      <c r="D205" s="67"/>
      <c r="E205" s="53">
        <f t="shared" si="30"/>
        <v>0</v>
      </c>
      <c r="F205" s="53"/>
      <c r="G205" s="53"/>
      <c r="H205" s="53"/>
      <c r="I205" s="53"/>
      <c r="J205" s="53"/>
      <c r="K205" s="53"/>
      <c r="L205" s="176"/>
      <c r="M205" s="180"/>
      <c r="N205" s="193"/>
      <c r="O205" s="193"/>
      <c r="P205" s="76"/>
      <c r="Q205" s="76"/>
    </row>
    <row r="206" spans="1:17" s="77" customFormat="1" x14ac:dyDescent="0.3">
      <c r="A206" s="52"/>
      <c r="B206" s="51" t="s">
        <v>459</v>
      </c>
      <c r="C206" s="67"/>
      <c r="D206" s="67"/>
      <c r="E206" s="53">
        <f t="shared" si="30"/>
        <v>0</v>
      </c>
      <c r="F206" s="53"/>
      <c r="G206" s="53"/>
      <c r="H206" s="53"/>
      <c r="I206" s="53"/>
      <c r="J206" s="53"/>
      <c r="K206" s="53"/>
      <c r="L206" s="176"/>
      <c r="M206" s="180"/>
      <c r="N206" s="193"/>
      <c r="O206" s="193"/>
      <c r="P206" s="76"/>
      <c r="Q206" s="76"/>
    </row>
    <row r="207" spans="1:17" s="77" customFormat="1" x14ac:dyDescent="0.3">
      <c r="A207" s="52" t="s">
        <v>152</v>
      </c>
      <c r="B207" s="52" t="s">
        <v>473</v>
      </c>
      <c r="C207" s="53">
        <v>25000</v>
      </c>
      <c r="D207" s="53"/>
      <c r="E207" s="53">
        <f t="shared" si="30"/>
        <v>25000</v>
      </c>
      <c r="F207" s="53"/>
      <c r="G207" s="53">
        <f t="shared" ref="G207:G215" si="45">E207+F207</f>
        <v>25000</v>
      </c>
      <c r="H207" s="53">
        <f>(100000+7000)--53678.3</f>
        <v>160678.29999999999</v>
      </c>
      <c r="I207" s="69">
        <f t="shared" ref="I207:I218" si="46">G207+H207</f>
        <v>185678.3</v>
      </c>
      <c r="J207" s="69">
        <v>60000</v>
      </c>
      <c r="K207" s="53">
        <f t="shared" ref="K207:K218" si="47">J207*104.2%</f>
        <v>62520</v>
      </c>
      <c r="L207" s="176">
        <f t="shared" ref="L207:L218" si="48">K207*104.4%</f>
        <v>65270.880000000005</v>
      </c>
      <c r="M207" s="179"/>
      <c r="N207" s="190"/>
      <c r="O207" s="190"/>
      <c r="P207" s="76"/>
      <c r="Q207" s="76"/>
    </row>
    <row r="208" spans="1:17" s="77" customFormat="1" x14ac:dyDescent="0.3">
      <c r="A208" s="52" t="s">
        <v>156</v>
      </c>
      <c r="B208" s="52" t="s">
        <v>157</v>
      </c>
      <c r="C208" s="53">
        <v>15000</v>
      </c>
      <c r="D208" s="53"/>
      <c r="E208" s="53">
        <f t="shared" si="30"/>
        <v>15000</v>
      </c>
      <c r="F208" s="53"/>
      <c r="G208" s="53">
        <f t="shared" si="45"/>
        <v>15000</v>
      </c>
      <c r="H208" s="53"/>
      <c r="I208" s="69">
        <f t="shared" si="46"/>
        <v>15000</v>
      </c>
      <c r="J208" s="69">
        <v>30000</v>
      </c>
      <c r="K208" s="53">
        <f t="shared" si="47"/>
        <v>31260</v>
      </c>
      <c r="L208" s="176">
        <f t="shared" si="48"/>
        <v>32635.440000000002</v>
      </c>
      <c r="M208" s="180"/>
      <c r="N208" s="193"/>
      <c r="O208" s="190"/>
      <c r="P208" s="76"/>
      <c r="Q208" s="76"/>
    </row>
    <row r="209" spans="1:17" s="77" customFormat="1" x14ac:dyDescent="0.3">
      <c r="A209" s="52" t="s">
        <v>153</v>
      </c>
      <c r="B209" s="52" t="s">
        <v>154</v>
      </c>
      <c r="C209" s="53">
        <v>10000</v>
      </c>
      <c r="D209" s="53"/>
      <c r="E209" s="53">
        <f t="shared" si="30"/>
        <v>10000</v>
      </c>
      <c r="F209" s="53"/>
      <c r="G209" s="53">
        <f t="shared" si="45"/>
        <v>10000</v>
      </c>
      <c r="H209" s="53"/>
      <c r="I209" s="69">
        <f t="shared" si="46"/>
        <v>10000</v>
      </c>
      <c r="J209" s="69">
        <v>15000</v>
      </c>
      <c r="K209" s="53">
        <f t="shared" si="47"/>
        <v>15630</v>
      </c>
      <c r="L209" s="176">
        <f t="shared" si="48"/>
        <v>16317.720000000001</v>
      </c>
      <c r="M209" s="180"/>
      <c r="N209" s="193"/>
      <c r="O209" s="190"/>
      <c r="P209" s="76"/>
      <c r="Q209" s="76"/>
    </row>
    <row r="210" spans="1:17" s="77" customFormat="1" x14ac:dyDescent="0.3">
      <c r="A210" s="52" t="s">
        <v>155</v>
      </c>
      <c r="B210" s="52" t="s">
        <v>44</v>
      </c>
      <c r="C210" s="53">
        <v>10000</v>
      </c>
      <c r="D210" s="53"/>
      <c r="E210" s="53">
        <f t="shared" si="30"/>
        <v>10000</v>
      </c>
      <c r="F210" s="53"/>
      <c r="G210" s="53">
        <f t="shared" si="45"/>
        <v>10000</v>
      </c>
      <c r="H210" s="53"/>
      <c r="I210" s="69">
        <f t="shared" si="46"/>
        <v>10000</v>
      </c>
      <c r="J210" s="69">
        <v>15000</v>
      </c>
      <c r="K210" s="53">
        <f t="shared" si="47"/>
        <v>15630</v>
      </c>
      <c r="L210" s="176">
        <f t="shared" si="48"/>
        <v>16317.720000000001</v>
      </c>
      <c r="M210" s="179"/>
      <c r="N210" s="193"/>
      <c r="O210" s="190"/>
      <c r="P210" s="76"/>
      <c r="Q210" s="76"/>
    </row>
    <row r="211" spans="1:17" s="77" customFormat="1" x14ac:dyDescent="0.3">
      <c r="A211" s="51"/>
      <c r="B211" s="51"/>
      <c r="C211" s="67"/>
      <c r="D211" s="67"/>
      <c r="E211" s="53">
        <f t="shared" si="30"/>
        <v>0</v>
      </c>
      <c r="F211" s="53"/>
      <c r="G211" s="53">
        <f t="shared" si="45"/>
        <v>0</v>
      </c>
      <c r="H211" s="53"/>
      <c r="I211" s="69">
        <f t="shared" si="46"/>
        <v>0</v>
      </c>
      <c r="J211" s="69"/>
      <c r="K211" s="53">
        <f t="shared" si="47"/>
        <v>0</v>
      </c>
      <c r="L211" s="176">
        <f t="shared" si="48"/>
        <v>0</v>
      </c>
      <c r="M211" s="180"/>
      <c r="N211" s="193"/>
      <c r="O211" s="190"/>
      <c r="P211" s="76"/>
      <c r="Q211" s="76"/>
    </row>
    <row r="212" spans="1:17" s="77" customFormat="1" x14ac:dyDescent="0.3">
      <c r="A212" s="52" t="s">
        <v>138</v>
      </c>
      <c r="B212" s="52" t="s">
        <v>689</v>
      </c>
      <c r="C212" s="53">
        <v>500000</v>
      </c>
      <c r="D212" s="53"/>
      <c r="E212" s="53">
        <f t="shared" si="30"/>
        <v>500000</v>
      </c>
      <c r="F212" s="53"/>
      <c r="G212" s="53">
        <f t="shared" si="45"/>
        <v>500000</v>
      </c>
      <c r="H212" s="53"/>
      <c r="I212" s="69">
        <f t="shared" si="46"/>
        <v>500000</v>
      </c>
      <c r="J212" s="69">
        <v>0</v>
      </c>
      <c r="K212" s="53">
        <f t="shared" si="47"/>
        <v>0</v>
      </c>
      <c r="L212" s="176">
        <f t="shared" si="48"/>
        <v>0</v>
      </c>
      <c r="M212" s="180"/>
      <c r="N212" s="193"/>
      <c r="O212" s="190"/>
      <c r="P212" s="76"/>
      <c r="Q212" s="76"/>
    </row>
    <row r="213" spans="1:17" s="77" customFormat="1" x14ac:dyDescent="0.3">
      <c r="A213" s="52" t="s">
        <v>160</v>
      </c>
      <c r="B213" s="52" t="s">
        <v>503</v>
      </c>
      <c r="C213" s="53">
        <v>40000</v>
      </c>
      <c r="D213" s="53"/>
      <c r="E213" s="53">
        <f t="shared" si="30"/>
        <v>40000</v>
      </c>
      <c r="F213" s="53"/>
      <c r="G213" s="53">
        <f t="shared" si="45"/>
        <v>40000</v>
      </c>
      <c r="H213" s="53"/>
      <c r="I213" s="69">
        <f t="shared" si="46"/>
        <v>40000</v>
      </c>
      <c r="J213" s="69">
        <v>60000</v>
      </c>
      <c r="K213" s="53">
        <f t="shared" si="47"/>
        <v>62520</v>
      </c>
      <c r="L213" s="176">
        <f t="shared" si="48"/>
        <v>65270.880000000005</v>
      </c>
      <c r="M213" s="179"/>
      <c r="N213" s="190"/>
      <c r="O213" s="190"/>
      <c r="P213" s="76"/>
      <c r="Q213" s="76"/>
    </row>
    <row r="214" spans="1:17" s="77" customFormat="1" x14ac:dyDescent="0.3">
      <c r="A214" s="52" t="s">
        <v>148</v>
      </c>
      <c r="B214" s="52" t="s">
        <v>655</v>
      </c>
      <c r="C214" s="53">
        <v>950000</v>
      </c>
      <c r="D214" s="53"/>
      <c r="E214" s="53">
        <f t="shared" si="30"/>
        <v>950000</v>
      </c>
      <c r="F214" s="53"/>
      <c r="G214" s="53">
        <f t="shared" si="45"/>
        <v>950000</v>
      </c>
      <c r="H214" s="53"/>
      <c r="I214" s="69">
        <f t="shared" si="46"/>
        <v>950000</v>
      </c>
      <c r="J214" s="69">
        <v>1100000</v>
      </c>
      <c r="K214" s="53">
        <f t="shared" si="47"/>
        <v>1146200</v>
      </c>
      <c r="L214" s="176">
        <f t="shared" si="48"/>
        <v>1196632.8</v>
      </c>
      <c r="M214" s="179"/>
      <c r="N214" s="190"/>
      <c r="O214" s="190"/>
      <c r="P214" s="76"/>
      <c r="Q214" s="76"/>
    </row>
    <row r="215" spans="1:17" s="77" customFormat="1" x14ac:dyDescent="0.3">
      <c r="A215" s="56" t="s">
        <v>1162</v>
      </c>
      <c r="B215" s="56" t="s">
        <v>181</v>
      </c>
      <c r="C215" s="69">
        <v>58557.802937500011</v>
      </c>
      <c r="D215" s="69"/>
      <c r="E215" s="69">
        <f t="shared" si="30"/>
        <v>58557.802937500011</v>
      </c>
      <c r="F215" s="69"/>
      <c r="G215" s="69">
        <f t="shared" si="45"/>
        <v>58557.802937500011</v>
      </c>
      <c r="H215" s="69"/>
      <c r="I215" s="69">
        <f t="shared" si="46"/>
        <v>58557.802937500011</v>
      </c>
      <c r="J215" s="69">
        <v>64155.628758160005</v>
      </c>
      <c r="K215" s="53">
        <f t="shared" si="47"/>
        <v>66850.165166002727</v>
      </c>
      <c r="L215" s="176">
        <f t="shared" si="48"/>
        <v>69791.57243330685</v>
      </c>
      <c r="M215" s="179"/>
      <c r="N215" s="190"/>
      <c r="O215" s="190"/>
      <c r="P215" s="76"/>
      <c r="Q215" s="76"/>
    </row>
    <row r="216" spans="1:17" s="77" customFormat="1" x14ac:dyDescent="0.3">
      <c r="A216" s="52"/>
      <c r="B216" s="52"/>
      <c r="C216" s="53"/>
      <c r="D216" s="53"/>
      <c r="E216" s="53"/>
      <c r="F216" s="53"/>
      <c r="G216" s="53"/>
      <c r="H216" s="53"/>
      <c r="I216" s="69">
        <f t="shared" si="46"/>
        <v>0</v>
      </c>
      <c r="J216" s="69"/>
      <c r="K216" s="53">
        <f t="shared" si="47"/>
        <v>0</v>
      </c>
      <c r="L216" s="176">
        <f t="shared" si="48"/>
        <v>0</v>
      </c>
      <c r="M216" s="180"/>
      <c r="N216" s="193"/>
      <c r="O216" s="190"/>
      <c r="P216" s="76"/>
      <c r="Q216" s="76"/>
    </row>
    <row r="217" spans="1:17" s="77" customFormat="1" x14ac:dyDescent="0.3">
      <c r="A217" s="52" t="s">
        <v>1285</v>
      </c>
      <c r="B217" s="52" t="s">
        <v>1286</v>
      </c>
      <c r="C217" s="53"/>
      <c r="D217" s="53"/>
      <c r="E217" s="53"/>
      <c r="F217" s="53">
        <v>500000</v>
      </c>
      <c r="G217" s="69">
        <f>E217+F217</f>
        <v>500000</v>
      </c>
      <c r="H217" s="69">
        <v>500000</v>
      </c>
      <c r="I217" s="69">
        <f t="shared" si="46"/>
        <v>1000000</v>
      </c>
      <c r="J217" s="69"/>
      <c r="K217" s="53">
        <f t="shared" si="47"/>
        <v>0</v>
      </c>
      <c r="L217" s="176">
        <f t="shared" si="48"/>
        <v>0</v>
      </c>
      <c r="M217" s="179"/>
      <c r="N217" s="193"/>
      <c r="O217" s="190"/>
      <c r="P217" s="76"/>
      <c r="Q217" s="76"/>
    </row>
    <row r="218" spans="1:17" s="77" customFormat="1" ht="13.5" thickBot="1" x14ac:dyDescent="0.35">
      <c r="A218" s="84" t="s">
        <v>1289</v>
      </c>
      <c r="B218" s="84" t="s">
        <v>1292</v>
      </c>
      <c r="C218" s="114"/>
      <c r="D218" s="114"/>
      <c r="E218" s="114"/>
      <c r="F218" s="114">
        <v>577000</v>
      </c>
      <c r="G218" s="69">
        <f>E218+F218</f>
        <v>577000</v>
      </c>
      <c r="H218" s="69"/>
      <c r="I218" s="69">
        <f t="shared" si="46"/>
        <v>577000</v>
      </c>
      <c r="J218" s="69"/>
      <c r="K218" s="53">
        <f t="shared" si="47"/>
        <v>0</v>
      </c>
      <c r="L218" s="176">
        <f t="shared" si="48"/>
        <v>0</v>
      </c>
      <c r="M218" s="179"/>
      <c r="N218" s="190"/>
      <c r="O218" s="190"/>
      <c r="P218" s="76"/>
      <c r="Q218" s="76"/>
    </row>
    <row r="219" spans="1:17" s="77" customFormat="1" ht="13.5" thickBot="1" x14ac:dyDescent="0.35">
      <c r="A219" s="57" t="s">
        <v>674</v>
      </c>
      <c r="B219" s="57"/>
      <c r="C219" s="59">
        <f>SUM(C207:C215)</f>
        <v>1608557.8029374999</v>
      </c>
      <c r="D219" s="59">
        <f>SUM(D207:D215)</f>
        <v>0</v>
      </c>
      <c r="E219" s="59">
        <f>SUM(E207:E218)</f>
        <v>1608557.8029374999</v>
      </c>
      <c r="F219" s="59">
        <f t="shared" ref="F219" si="49">SUM(F207:F218)</f>
        <v>1077000</v>
      </c>
      <c r="G219" s="59">
        <f>SUM(G207:G218)</f>
        <v>2685557.8029375002</v>
      </c>
      <c r="H219" s="59">
        <f t="shared" ref="H219:L219" si="50">SUM(H207:H218)</f>
        <v>660678.30000000005</v>
      </c>
      <c r="I219" s="59">
        <f t="shared" si="50"/>
        <v>3346236.1029375</v>
      </c>
      <c r="J219" s="59">
        <f t="shared" si="50"/>
        <v>1344155.6287581599</v>
      </c>
      <c r="K219" s="59">
        <f t="shared" si="50"/>
        <v>1400610.1651660027</v>
      </c>
      <c r="L219" s="59">
        <f t="shared" si="50"/>
        <v>1462237.0124333068</v>
      </c>
      <c r="M219" s="180"/>
      <c r="N219" s="193"/>
      <c r="O219" s="193"/>
      <c r="P219" s="76"/>
      <c r="Q219" s="76"/>
    </row>
    <row r="220" spans="1:17" s="77" customFormat="1" ht="13.5" thickTop="1" x14ac:dyDescent="0.3">
      <c r="A220" s="60"/>
      <c r="B220" s="60"/>
      <c r="C220" s="62"/>
      <c r="D220" s="62"/>
      <c r="E220" s="53">
        <f t="shared" si="30"/>
        <v>0</v>
      </c>
      <c r="F220" s="62"/>
      <c r="G220" s="62"/>
      <c r="H220" s="62"/>
      <c r="I220" s="62"/>
      <c r="J220" s="62"/>
      <c r="K220" s="62"/>
      <c r="L220" s="184"/>
      <c r="M220" s="180"/>
      <c r="N220" s="193"/>
      <c r="O220" s="193"/>
      <c r="P220" s="76"/>
      <c r="Q220" s="76"/>
    </row>
    <row r="221" spans="1:17" s="77" customFormat="1" x14ac:dyDescent="0.3">
      <c r="A221" s="51" t="s">
        <v>77</v>
      </c>
      <c r="B221" s="52"/>
      <c r="C221" s="53"/>
      <c r="D221" s="53"/>
      <c r="E221" s="53">
        <f t="shared" si="30"/>
        <v>0</v>
      </c>
      <c r="F221" s="53"/>
      <c r="G221" s="53"/>
      <c r="H221" s="53"/>
      <c r="I221" s="53"/>
      <c r="J221" s="53"/>
      <c r="K221" s="53"/>
      <c r="L221" s="176"/>
      <c r="M221" s="180"/>
      <c r="N221" s="193"/>
      <c r="O221" s="193"/>
      <c r="P221" s="76"/>
      <c r="Q221" s="76"/>
    </row>
    <row r="222" spans="1:17" s="77" customFormat="1" x14ac:dyDescent="0.3">
      <c r="A222" s="52" t="s">
        <v>182</v>
      </c>
      <c r="B222" s="52" t="s">
        <v>183</v>
      </c>
      <c r="C222" s="53">
        <v>58269.959999999992</v>
      </c>
      <c r="D222" s="53"/>
      <c r="E222" s="53">
        <f t="shared" si="30"/>
        <v>58269.959999999992</v>
      </c>
      <c r="F222" s="53"/>
      <c r="G222" s="53">
        <f t="shared" ref="G222:G238" si="51">E222+F222</f>
        <v>58269.959999999992</v>
      </c>
      <c r="H222" s="53">
        <v>-23547.599999999991</v>
      </c>
      <c r="I222" s="69">
        <f t="shared" ref="I222:I237" si="52">G222+H222</f>
        <v>34722.36</v>
      </c>
      <c r="J222" s="69">
        <v>36805.7016</v>
      </c>
      <c r="K222" s="53">
        <f t="shared" ref="K222:K237" si="53">J222*104.2%</f>
        <v>38351.5410672</v>
      </c>
      <c r="L222" s="176">
        <f t="shared" ref="L222:L237" si="54">K222*104.4%</f>
        <v>40039.008874156803</v>
      </c>
      <c r="M222" s="179"/>
      <c r="N222" s="190"/>
      <c r="O222" s="190"/>
      <c r="P222" s="76"/>
      <c r="Q222" s="76"/>
    </row>
    <row r="223" spans="1:17" s="77" customFormat="1" x14ac:dyDescent="0.3">
      <c r="A223" s="52" t="s">
        <v>173</v>
      </c>
      <c r="B223" s="52" t="s">
        <v>174</v>
      </c>
      <c r="C223" s="53">
        <v>1088042.93758125</v>
      </c>
      <c r="D223" s="53"/>
      <c r="E223" s="53">
        <f t="shared" si="30"/>
        <v>1088042.93758125</v>
      </c>
      <c r="F223" s="53"/>
      <c r="G223" s="53">
        <f t="shared" si="51"/>
        <v>1088042.93758125</v>
      </c>
      <c r="H223" s="53">
        <v>-510187.06460937508</v>
      </c>
      <c r="I223" s="69">
        <f t="shared" si="52"/>
        <v>577855.87297187489</v>
      </c>
      <c r="J223" s="69">
        <v>879765.42551808013</v>
      </c>
      <c r="K223" s="53">
        <f t="shared" si="53"/>
        <v>916715.5733898395</v>
      </c>
      <c r="L223" s="176">
        <f t="shared" si="54"/>
        <v>957051.05861899245</v>
      </c>
      <c r="M223" s="179"/>
      <c r="N223" s="190"/>
      <c r="O223" s="190"/>
      <c r="P223" s="76"/>
      <c r="Q223" s="76"/>
    </row>
    <row r="224" spans="1:17" s="77" customFormat="1" x14ac:dyDescent="0.3">
      <c r="A224" s="52" t="s">
        <v>179</v>
      </c>
      <c r="B224" s="52" t="s">
        <v>180</v>
      </c>
      <c r="C224" s="53">
        <v>196958.17499999999</v>
      </c>
      <c r="D224" s="53"/>
      <c r="E224" s="53">
        <f t="shared" si="30"/>
        <v>196958.17499999999</v>
      </c>
      <c r="F224" s="53"/>
      <c r="G224" s="53">
        <f t="shared" si="51"/>
        <v>196958.17499999999</v>
      </c>
      <c r="H224" s="53">
        <v>-72646.312499999971</v>
      </c>
      <c r="I224" s="69">
        <f t="shared" si="52"/>
        <v>124311.86250000002</v>
      </c>
      <c r="J224" s="69">
        <v>131460.52583999999</v>
      </c>
      <c r="K224" s="53">
        <f t="shared" si="53"/>
        <v>136981.86792527998</v>
      </c>
      <c r="L224" s="176">
        <f t="shared" si="54"/>
        <v>143009.07011399229</v>
      </c>
      <c r="M224" s="179"/>
      <c r="N224" s="190"/>
      <c r="O224" s="190"/>
      <c r="P224" s="76"/>
      <c r="Q224" s="76"/>
    </row>
    <row r="225" spans="1:17" s="77" customFormat="1" x14ac:dyDescent="0.3">
      <c r="A225" s="52" t="s">
        <v>168</v>
      </c>
      <c r="B225" s="52" t="s">
        <v>57</v>
      </c>
      <c r="C225" s="53">
        <v>2124.9599999999996</v>
      </c>
      <c r="D225" s="53"/>
      <c r="E225" s="53">
        <f t="shared" si="30"/>
        <v>2124.9599999999996</v>
      </c>
      <c r="F225" s="53"/>
      <c r="G225" s="53">
        <f t="shared" si="51"/>
        <v>2124.9599999999996</v>
      </c>
      <c r="H225" s="53">
        <v>-335.52000000000021</v>
      </c>
      <c r="I225" s="69">
        <f t="shared" si="52"/>
        <v>1789.4399999999994</v>
      </c>
      <c r="J225" s="69">
        <v>1789.4399999999994</v>
      </c>
      <c r="K225" s="53">
        <f t="shared" si="53"/>
        <v>1864.5964799999995</v>
      </c>
      <c r="L225" s="176">
        <f t="shared" si="54"/>
        <v>1946.6387251199994</v>
      </c>
      <c r="M225" s="179"/>
      <c r="N225" s="190"/>
      <c r="O225" s="190"/>
      <c r="P225" s="76"/>
      <c r="Q225" s="76"/>
    </row>
    <row r="226" spans="1:17" s="77" customFormat="1" x14ac:dyDescent="0.3">
      <c r="A226" s="52" t="s">
        <v>165</v>
      </c>
      <c r="B226" s="52" t="s">
        <v>166</v>
      </c>
      <c r="C226" s="53">
        <v>431284.91239583329</v>
      </c>
      <c r="D226" s="53"/>
      <c r="E226" s="53">
        <f t="shared" si="30"/>
        <v>431284.91239583329</v>
      </c>
      <c r="F226" s="53"/>
      <c r="G226" s="53">
        <f t="shared" si="51"/>
        <v>431284.91239583329</v>
      </c>
      <c r="H226" s="53">
        <v>-178311.49239583331</v>
      </c>
      <c r="I226" s="69">
        <f t="shared" si="52"/>
        <v>252973.41999999998</v>
      </c>
      <c r="J226" s="69">
        <v>403925.27748333331</v>
      </c>
      <c r="K226" s="53">
        <f t="shared" si="53"/>
        <v>420890.13913763332</v>
      </c>
      <c r="L226" s="176">
        <f t="shared" si="54"/>
        <v>439409.30525968922</v>
      </c>
      <c r="M226" s="179"/>
      <c r="N226" s="190"/>
      <c r="O226" s="190"/>
      <c r="P226" s="76"/>
      <c r="Q226" s="76"/>
    </row>
    <row r="227" spans="1:17" s="77" customFormat="1" x14ac:dyDescent="0.3">
      <c r="A227" s="52" t="s">
        <v>595</v>
      </c>
      <c r="B227" s="52" t="s">
        <v>590</v>
      </c>
      <c r="C227" s="53">
        <v>35000</v>
      </c>
      <c r="D227" s="53"/>
      <c r="E227" s="53">
        <f t="shared" si="30"/>
        <v>35000</v>
      </c>
      <c r="F227" s="53"/>
      <c r="G227" s="53">
        <f t="shared" si="51"/>
        <v>35000</v>
      </c>
      <c r="H227" s="53">
        <v>-29000</v>
      </c>
      <c r="I227" s="69">
        <f t="shared" si="52"/>
        <v>6000</v>
      </c>
      <c r="J227" s="69">
        <v>6000</v>
      </c>
      <c r="K227" s="53">
        <f t="shared" si="53"/>
        <v>6252</v>
      </c>
      <c r="L227" s="176">
        <f t="shared" si="54"/>
        <v>6527.0880000000006</v>
      </c>
      <c r="M227" s="179"/>
      <c r="N227" s="190"/>
      <c r="O227" s="190"/>
      <c r="P227" s="76"/>
      <c r="Q227" s="76"/>
    </row>
    <row r="228" spans="1:17" s="77" customFormat="1" x14ac:dyDescent="0.3">
      <c r="A228" s="52" t="s">
        <v>170</v>
      </c>
      <c r="B228" s="52" t="s">
        <v>171</v>
      </c>
      <c r="C228" s="53">
        <v>383768.6</v>
      </c>
      <c r="D228" s="53"/>
      <c r="E228" s="53">
        <f t="shared" si="30"/>
        <v>383768.6</v>
      </c>
      <c r="F228" s="53"/>
      <c r="G228" s="53">
        <f t="shared" si="51"/>
        <v>383768.6</v>
      </c>
      <c r="H228" s="53">
        <v>-87443.959999999963</v>
      </c>
      <c r="I228" s="69">
        <f t="shared" si="52"/>
        <v>296324.64</v>
      </c>
      <c r="J228" s="69">
        <v>296324.64</v>
      </c>
      <c r="K228" s="53">
        <f t="shared" si="53"/>
        <v>308770.27488000004</v>
      </c>
      <c r="L228" s="176">
        <f t="shared" si="54"/>
        <v>322356.16697472008</v>
      </c>
      <c r="M228" s="179"/>
      <c r="N228" s="190"/>
      <c r="O228" s="190"/>
      <c r="P228" s="76"/>
      <c r="Q228" s="76"/>
    </row>
    <row r="229" spans="1:17" s="77" customFormat="1" x14ac:dyDescent="0.3">
      <c r="A229" s="52" t="s">
        <v>189</v>
      </c>
      <c r="B229" s="52" t="s">
        <v>190</v>
      </c>
      <c r="C229" s="53">
        <v>90000</v>
      </c>
      <c r="D229" s="53"/>
      <c r="E229" s="53">
        <f t="shared" si="30"/>
        <v>90000</v>
      </c>
      <c r="F229" s="53"/>
      <c r="G229" s="53">
        <f t="shared" si="51"/>
        <v>90000</v>
      </c>
      <c r="H229" s="53">
        <v>-72397.980625000011</v>
      </c>
      <c r="I229" s="69">
        <f t="shared" si="52"/>
        <v>17602.019374999989</v>
      </c>
      <c r="J229" s="69">
        <v>30000</v>
      </c>
      <c r="K229" s="53">
        <f t="shared" si="53"/>
        <v>31260</v>
      </c>
      <c r="L229" s="176">
        <f t="shared" si="54"/>
        <v>32635.440000000002</v>
      </c>
      <c r="M229" s="179"/>
      <c r="N229" s="190"/>
      <c r="O229" s="190"/>
      <c r="P229" s="76"/>
      <c r="Q229" s="76"/>
    </row>
    <row r="230" spans="1:17" s="77" customFormat="1" x14ac:dyDescent="0.3">
      <c r="A230" s="52" t="s">
        <v>163</v>
      </c>
      <c r="B230" s="52" t="s">
        <v>55</v>
      </c>
      <c r="C230" s="53">
        <v>5379418.9487500004</v>
      </c>
      <c r="D230" s="53"/>
      <c r="E230" s="53">
        <f t="shared" si="30"/>
        <v>5379418.9487500004</v>
      </c>
      <c r="F230" s="53"/>
      <c r="G230" s="53">
        <f t="shared" si="51"/>
        <v>5379418.9487500004</v>
      </c>
      <c r="H230" s="53">
        <v>-1882919.1433333335</v>
      </c>
      <c r="I230" s="69">
        <f t="shared" si="52"/>
        <v>3496499.8054166669</v>
      </c>
      <c r="J230" s="69">
        <v>4354140.0898000011</v>
      </c>
      <c r="K230" s="53">
        <f t="shared" si="53"/>
        <v>4537013.9735716013</v>
      </c>
      <c r="L230" s="176">
        <f t="shared" si="54"/>
        <v>4736642.5884087523</v>
      </c>
      <c r="M230" s="179"/>
      <c r="N230" s="190"/>
      <c r="O230" s="190"/>
      <c r="P230" s="76"/>
      <c r="Q230" s="76"/>
    </row>
    <row r="231" spans="1:17" s="77" customFormat="1" x14ac:dyDescent="0.3">
      <c r="A231" s="52" t="s">
        <v>176</v>
      </c>
      <c r="B231" s="52" t="s">
        <v>177</v>
      </c>
      <c r="C231" s="53">
        <v>31507.439999999995</v>
      </c>
      <c r="D231" s="53"/>
      <c r="E231" s="53">
        <f t="shared" ref="E231:E244" si="55">C231+D231</f>
        <v>31507.439999999995</v>
      </c>
      <c r="F231" s="53"/>
      <c r="G231" s="53">
        <f t="shared" si="51"/>
        <v>31507.439999999995</v>
      </c>
      <c r="H231" s="53">
        <v>-5353.9200000000055</v>
      </c>
      <c r="I231" s="69">
        <f t="shared" si="52"/>
        <v>26153.51999999999</v>
      </c>
      <c r="J231" s="69">
        <v>26153.51999999999</v>
      </c>
      <c r="K231" s="53">
        <f t="shared" si="53"/>
        <v>27251.96783999999</v>
      </c>
      <c r="L231" s="176">
        <f t="shared" si="54"/>
        <v>28451.054424959992</v>
      </c>
      <c r="M231" s="179"/>
      <c r="N231" s="190"/>
      <c r="O231" s="190"/>
      <c r="P231" s="76"/>
      <c r="Q231" s="76"/>
    </row>
    <row r="232" spans="1:17" s="77" customFormat="1" x14ac:dyDescent="0.3">
      <c r="A232" s="52" t="s">
        <v>196</v>
      </c>
      <c r="B232" s="52" t="s">
        <v>197</v>
      </c>
      <c r="C232" s="53">
        <v>1784.6399999999999</v>
      </c>
      <c r="D232" s="53"/>
      <c r="E232" s="53">
        <f t="shared" si="55"/>
        <v>1784.6399999999999</v>
      </c>
      <c r="F232" s="53"/>
      <c r="G232" s="53">
        <f t="shared" si="51"/>
        <v>1784.6399999999999</v>
      </c>
      <c r="H232" s="53">
        <v>0</v>
      </c>
      <c r="I232" s="69">
        <f t="shared" si="52"/>
        <v>1784.6399999999999</v>
      </c>
      <c r="J232" s="69">
        <v>1784.6399999999999</v>
      </c>
      <c r="K232" s="53">
        <f t="shared" si="53"/>
        <v>1859.5948799999999</v>
      </c>
      <c r="L232" s="176">
        <f t="shared" si="54"/>
        <v>1941.4170547199999</v>
      </c>
      <c r="M232" s="179"/>
      <c r="N232" s="190"/>
      <c r="O232" s="190"/>
      <c r="P232" s="76"/>
      <c r="Q232" s="76"/>
    </row>
    <row r="233" spans="1:17" s="77" customFormat="1" x14ac:dyDescent="0.3">
      <c r="A233" s="52" t="s">
        <v>507</v>
      </c>
      <c r="B233" s="52" t="s">
        <v>508</v>
      </c>
      <c r="C233" s="53">
        <v>100000</v>
      </c>
      <c r="D233" s="53"/>
      <c r="E233" s="53">
        <f t="shared" si="55"/>
        <v>100000</v>
      </c>
      <c r="F233" s="53"/>
      <c r="G233" s="53">
        <f t="shared" si="51"/>
        <v>100000</v>
      </c>
      <c r="H233" s="53">
        <v>-100000</v>
      </c>
      <c r="I233" s="69">
        <f t="shared" si="52"/>
        <v>0</v>
      </c>
      <c r="J233" s="69"/>
      <c r="K233" s="53">
        <f t="shared" si="53"/>
        <v>0</v>
      </c>
      <c r="L233" s="176">
        <f t="shared" si="54"/>
        <v>0</v>
      </c>
      <c r="M233" s="179"/>
      <c r="N233" s="190"/>
      <c r="O233" s="190"/>
      <c r="P233" s="76"/>
      <c r="Q233" s="76"/>
    </row>
    <row r="234" spans="1:17" s="77" customFormat="1" x14ac:dyDescent="0.3">
      <c r="A234" s="52" t="s">
        <v>192</v>
      </c>
      <c r="B234" s="52" t="s">
        <v>193</v>
      </c>
      <c r="C234" s="53">
        <v>609538.80000000005</v>
      </c>
      <c r="D234" s="53"/>
      <c r="E234" s="53">
        <f t="shared" si="55"/>
        <v>609538.80000000005</v>
      </c>
      <c r="F234" s="53"/>
      <c r="G234" s="53">
        <f t="shared" si="51"/>
        <v>609538.80000000005</v>
      </c>
      <c r="H234" s="53">
        <v>-177457.19</v>
      </c>
      <c r="I234" s="69">
        <f t="shared" si="52"/>
        <v>432081.61000000004</v>
      </c>
      <c r="J234" s="69">
        <v>647975.11680000008</v>
      </c>
      <c r="K234" s="53">
        <f t="shared" si="53"/>
        <v>675190.07170560013</v>
      </c>
      <c r="L234" s="176">
        <f t="shared" si="54"/>
        <v>704898.43486064661</v>
      </c>
      <c r="M234" s="179"/>
      <c r="N234" s="190"/>
      <c r="O234" s="190"/>
      <c r="P234" s="76"/>
      <c r="Q234" s="76"/>
    </row>
    <row r="235" spans="1:17" s="77" customFormat="1" x14ac:dyDescent="0.3">
      <c r="A235" s="52" t="s">
        <v>198</v>
      </c>
      <c r="B235" s="52" t="s">
        <v>199</v>
      </c>
      <c r="C235" s="53">
        <v>195360</v>
      </c>
      <c r="D235" s="53"/>
      <c r="E235" s="53">
        <f t="shared" si="55"/>
        <v>195360</v>
      </c>
      <c r="F235" s="53"/>
      <c r="G235" s="53">
        <f t="shared" si="51"/>
        <v>195360</v>
      </c>
      <c r="H235" s="53">
        <v>-51332.800000000017</v>
      </c>
      <c r="I235" s="69">
        <f t="shared" si="52"/>
        <v>144027.19999999998</v>
      </c>
      <c r="J235" s="69">
        <v>215991.70560000002</v>
      </c>
      <c r="K235" s="53">
        <f t="shared" si="53"/>
        <v>225063.35723520003</v>
      </c>
      <c r="L235" s="176">
        <f t="shared" si="54"/>
        <v>234966.14495354885</v>
      </c>
      <c r="M235" s="179"/>
      <c r="N235" s="190"/>
      <c r="O235" s="190"/>
      <c r="P235" s="76"/>
      <c r="Q235" s="76"/>
    </row>
    <row r="236" spans="1:17" s="77" customFormat="1" x14ac:dyDescent="0.3">
      <c r="A236" s="52" t="s">
        <v>186</v>
      </c>
      <c r="B236" s="52" t="s">
        <v>187</v>
      </c>
      <c r="C236" s="53">
        <v>30000</v>
      </c>
      <c r="D236" s="53"/>
      <c r="E236" s="53">
        <f t="shared" si="55"/>
        <v>30000</v>
      </c>
      <c r="F236" s="53"/>
      <c r="G236" s="53">
        <f t="shared" si="51"/>
        <v>30000</v>
      </c>
      <c r="H236" s="53">
        <v>-23166.560000000001</v>
      </c>
      <c r="I236" s="69">
        <f t="shared" si="52"/>
        <v>6833.4399999999987</v>
      </c>
      <c r="J236" s="69">
        <v>50000</v>
      </c>
      <c r="K236" s="53">
        <f t="shared" si="53"/>
        <v>52100</v>
      </c>
      <c r="L236" s="176">
        <f t="shared" si="54"/>
        <v>54392.4</v>
      </c>
      <c r="M236" s="179"/>
      <c r="N236" s="190"/>
      <c r="O236" s="190"/>
      <c r="P236" s="76"/>
      <c r="Q236" s="76"/>
    </row>
    <row r="237" spans="1:17" s="77" customFormat="1" x14ac:dyDescent="0.3">
      <c r="A237" s="56" t="s">
        <v>194</v>
      </c>
      <c r="B237" s="56" t="s">
        <v>195</v>
      </c>
      <c r="C237" s="53">
        <v>20000</v>
      </c>
      <c r="D237" s="53"/>
      <c r="E237" s="53">
        <f t="shared" si="55"/>
        <v>20000</v>
      </c>
      <c r="F237" s="53"/>
      <c r="G237" s="53">
        <f t="shared" si="51"/>
        <v>20000</v>
      </c>
      <c r="H237" s="53">
        <v>-20000</v>
      </c>
      <c r="I237" s="69">
        <f t="shared" si="52"/>
        <v>0</v>
      </c>
      <c r="J237" s="69"/>
      <c r="K237" s="53">
        <f t="shared" si="53"/>
        <v>0</v>
      </c>
      <c r="L237" s="176">
        <f t="shared" si="54"/>
        <v>0</v>
      </c>
      <c r="M237" s="180"/>
      <c r="N237" s="193"/>
      <c r="O237" s="190"/>
      <c r="P237" s="76"/>
      <c r="Q237" s="76"/>
    </row>
    <row r="238" spans="1:17" s="77" customFormat="1" ht="13.5" thickBot="1" x14ac:dyDescent="0.35">
      <c r="A238" s="55"/>
      <c r="B238" s="55"/>
      <c r="C238" s="69"/>
      <c r="D238" s="69"/>
      <c r="E238" s="53">
        <f t="shared" si="55"/>
        <v>0</v>
      </c>
      <c r="F238" s="69"/>
      <c r="G238" s="53">
        <f t="shared" si="51"/>
        <v>0</v>
      </c>
      <c r="H238" s="69"/>
      <c r="I238" s="69"/>
      <c r="J238" s="69"/>
      <c r="K238" s="69"/>
      <c r="L238" s="186"/>
      <c r="M238" s="180"/>
      <c r="N238" s="193"/>
      <c r="O238" s="190"/>
      <c r="P238" s="76"/>
      <c r="Q238" s="76"/>
    </row>
    <row r="239" spans="1:17" s="77" customFormat="1" ht="13.5" thickBot="1" x14ac:dyDescent="0.35">
      <c r="A239" s="57" t="s">
        <v>201</v>
      </c>
      <c r="B239" s="57"/>
      <c r="C239" s="59">
        <f>SUM(C222:C238)</f>
        <v>8653059.3737270851</v>
      </c>
      <c r="D239" s="59">
        <f>SUM(D222:D238)</f>
        <v>0</v>
      </c>
      <c r="E239" s="59">
        <f>SUM(E222:E238)</f>
        <v>8653059.3737270851</v>
      </c>
      <c r="F239" s="59">
        <f t="shared" ref="F239:L239" si="56">SUM(F222:F238)</f>
        <v>0</v>
      </c>
      <c r="G239" s="59">
        <f t="shared" si="56"/>
        <v>8653059.3737270851</v>
      </c>
      <c r="H239" s="59">
        <f t="shared" si="56"/>
        <v>-3234099.5434635417</v>
      </c>
      <c r="I239" s="59">
        <f t="shared" si="56"/>
        <v>5418959.830263542</v>
      </c>
      <c r="J239" s="59">
        <f t="shared" si="56"/>
        <v>7082116.0826414144</v>
      </c>
      <c r="K239" s="59">
        <f t="shared" si="56"/>
        <v>7379564.9581123535</v>
      </c>
      <c r="L239" s="59">
        <f t="shared" si="56"/>
        <v>7704265.8162692999</v>
      </c>
      <c r="M239" s="180"/>
      <c r="N239" s="193"/>
      <c r="O239" s="193"/>
      <c r="P239" s="76"/>
      <c r="Q239" s="76"/>
    </row>
    <row r="240" spans="1:17" s="77" customFormat="1" ht="14" thickTop="1" thickBot="1" x14ac:dyDescent="0.35">
      <c r="A240" s="74"/>
      <c r="B240" s="74"/>
      <c r="C240" s="79"/>
      <c r="D240" s="79"/>
      <c r="E240" s="53">
        <f t="shared" si="55"/>
        <v>0</v>
      </c>
      <c r="F240" s="79"/>
      <c r="G240" s="79"/>
      <c r="H240" s="79"/>
      <c r="I240" s="79"/>
      <c r="J240" s="79"/>
      <c r="K240" s="79"/>
      <c r="L240" s="179"/>
      <c r="M240" s="180"/>
      <c r="N240" s="193"/>
      <c r="O240" s="193"/>
      <c r="P240" s="76"/>
      <c r="Q240" s="76"/>
    </row>
    <row r="241" spans="1:17" s="77" customFormat="1" ht="13.5" thickBot="1" x14ac:dyDescent="0.35">
      <c r="A241" s="70" t="s">
        <v>690</v>
      </c>
      <c r="B241" s="70"/>
      <c r="C241" s="72">
        <f>C239+C219</f>
        <v>10261617.176664585</v>
      </c>
      <c r="D241" s="72">
        <f>D239+D219</f>
        <v>0</v>
      </c>
      <c r="E241" s="72">
        <f>E239+E219</f>
        <v>10261617.176664585</v>
      </c>
      <c r="F241" s="72">
        <f t="shared" ref="F241:L241" si="57">F239+F219</f>
        <v>1077000</v>
      </c>
      <c r="G241" s="72">
        <f t="shared" si="57"/>
        <v>11338617.176664585</v>
      </c>
      <c r="H241" s="72">
        <f t="shared" si="57"/>
        <v>-2573421.2434635414</v>
      </c>
      <c r="I241" s="72">
        <f t="shared" si="57"/>
        <v>8765195.9332010411</v>
      </c>
      <c r="J241" s="72">
        <f t="shared" si="57"/>
        <v>8426271.7113995738</v>
      </c>
      <c r="K241" s="72">
        <f t="shared" si="57"/>
        <v>8780175.1232783571</v>
      </c>
      <c r="L241" s="72">
        <f t="shared" si="57"/>
        <v>9166502.8287026063</v>
      </c>
      <c r="M241" s="180"/>
      <c r="N241" s="193"/>
      <c r="O241" s="193"/>
      <c r="P241" s="76"/>
      <c r="Q241" s="76"/>
    </row>
    <row r="242" spans="1:17" s="77" customFormat="1" ht="14" thickTop="1" thickBot="1" x14ac:dyDescent="0.35">
      <c r="A242" s="60"/>
      <c r="B242" s="60"/>
      <c r="C242" s="62"/>
      <c r="D242" s="62"/>
      <c r="E242" s="53">
        <f t="shared" si="55"/>
        <v>0</v>
      </c>
      <c r="F242" s="62"/>
      <c r="G242" s="62"/>
      <c r="H242" s="62"/>
      <c r="I242" s="62"/>
      <c r="J242" s="62"/>
      <c r="K242" s="62"/>
      <c r="L242" s="184"/>
      <c r="M242" s="180"/>
      <c r="N242" s="193"/>
      <c r="O242" s="193"/>
      <c r="P242" s="76"/>
      <c r="Q242" s="76"/>
    </row>
    <row r="243" spans="1:17" s="77" customFormat="1" ht="13.5" thickBot="1" x14ac:dyDescent="0.35">
      <c r="A243" s="70" t="s">
        <v>691</v>
      </c>
      <c r="B243" s="70"/>
      <c r="C243" s="72">
        <f>C241+C171+C137+C37+C187</f>
        <v>18319544.736889586</v>
      </c>
      <c r="D243" s="72">
        <f>D241+D171+D137+D37+D187</f>
        <v>645000</v>
      </c>
      <c r="E243" s="72">
        <f>E241+E171+E137+E37+E187</f>
        <v>18964544.736889586</v>
      </c>
      <c r="F243" s="72">
        <f>F241+F171+F137+F37+F202</f>
        <v>4327000</v>
      </c>
      <c r="G243" s="72">
        <f>G241+G171+G137+G37+G202</f>
        <v>23291544.736889582</v>
      </c>
      <c r="H243" s="72">
        <f t="shared" ref="H243:I243" si="58">H241+H171+H137+H37+H202</f>
        <v>-4474269.0436885403</v>
      </c>
      <c r="I243" s="72">
        <f t="shared" si="58"/>
        <v>18817275.693201043</v>
      </c>
      <c r="J243" s="72">
        <f>J241+J171+J137+J37+J202</f>
        <v>17637126.965624895</v>
      </c>
      <c r="K243" s="72">
        <f t="shared" ref="K243:L243" si="59">K241+K171+K137+K37+K202</f>
        <v>18377886.298181139</v>
      </c>
      <c r="L243" s="72">
        <f t="shared" si="59"/>
        <v>19186513.29530111</v>
      </c>
      <c r="M243" s="180"/>
      <c r="N243" s="193"/>
      <c r="O243" s="193"/>
      <c r="P243" s="76"/>
      <c r="Q243" s="76"/>
    </row>
    <row r="244" spans="1:17" ht="14" thickTop="1" thickBot="1" x14ac:dyDescent="0.35">
      <c r="A244" s="73"/>
      <c r="B244" s="73"/>
      <c r="C244" s="79"/>
      <c r="D244" s="79"/>
      <c r="E244" s="53">
        <f t="shared" si="55"/>
        <v>0</v>
      </c>
      <c r="F244" s="79"/>
      <c r="G244" s="79"/>
      <c r="H244" s="79"/>
      <c r="I244" s="79"/>
      <c r="J244" s="79"/>
      <c r="K244" s="79"/>
      <c r="L244" s="179"/>
    </row>
    <row r="245" spans="1:17" s="77" customFormat="1" ht="14" thickTop="1" thickBot="1" x14ac:dyDescent="0.35">
      <c r="A245" s="102" t="s">
        <v>692</v>
      </c>
      <c r="B245" s="102"/>
      <c r="C245" s="103">
        <f>C243+C13+C146</f>
        <v>16402544.736889586</v>
      </c>
      <c r="D245" s="103">
        <f>D243+D13+D146</f>
        <v>646000</v>
      </c>
      <c r="E245" s="103">
        <f>E243+E13+E146</f>
        <v>17048544.736889586</v>
      </c>
      <c r="F245" s="103">
        <f>F243+F13+F146</f>
        <v>4327000</v>
      </c>
      <c r="G245" s="103">
        <f>G243+G13+G146+G179</f>
        <v>-9146455.2631104179</v>
      </c>
      <c r="H245" s="103">
        <f t="shared" ref="H245:L245" si="60">H243+H13+H146+H179</f>
        <v>-4407747.3436885402</v>
      </c>
      <c r="I245" s="103">
        <f t="shared" si="60"/>
        <v>-13554202.606798958</v>
      </c>
      <c r="J245" s="103">
        <f t="shared" si="60"/>
        <v>15627126.965624895</v>
      </c>
      <c r="K245" s="103">
        <f t="shared" si="60"/>
        <v>16269686.298181139</v>
      </c>
      <c r="L245" s="103">
        <f t="shared" si="60"/>
        <v>17073728.495301109</v>
      </c>
      <c r="M245" s="180"/>
      <c r="N245" s="193"/>
      <c r="O245" s="193"/>
      <c r="P245" s="76"/>
      <c r="Q245" s="76"/>
    </row>
    <row r="246" spans="1:17" ht="13.5" thickTop="1" x14ac:dyDescent="0.3"/>
  </sheetData>
  <sortState xmlns:xlrd2="http://schemas.microsoft.com/office/spreadsheetml/2017/richdata2" ref="A147:AE176">
    <sortCondition ref="B147:B176"/>
  </sortState>
  <mergeCells count="1">
    <mergeCell ref="A2:L2"/>
  </mergeCells>
  <printOptions gridLines="1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H226"/>
  <sheetViews>
    <sheetView zoomScale="80" zoomScaleNormal="80" workbookViewId="0">
      <selection activeCell="C6" sqref="C6:C7"/>
    </sheetView>
  </sheetViews>
  <sheetFormatPr defaultRowHeight="14.5" x14ac:dyDescent="0.35"/>
  <cols>
    <col min="1" max="1" width="44.1796875" bestFit="1" customWidth="1"/>
    <col min="2" max="2" width="80.26953125" customWidth="1"/>
    <col min="3" max="3" width="18.453125" bestFit="1" customWidth="1"/>
    <col min="4" max="4" width="18.7265625" bestFit="1" customWidth="1"/>
    <col min="5" max="5" width="12.54296875" customWidth="1"/>
    <col min="6" max="8" width="16.26953125" bestFit="1" customWidth="1"/>
  </cols>
  <sheetData>
    <row r="1" spans="1:8" ht="43.5" x14ac:dyDescent="0.35">
      <c r="A1" s="10" t="s">
        <v>0</v>
      </c>
      <c r="B1" s="10" t="s">
        <v>1</v>
      </c>
      <c r="C1" s="11" t="s">
        <v>2</v>
      </c>
      <c r="D1" s="12" t="s">
        <v>3</v>
      </c>
      <c r="E1" s="12" t="s">
        <v>4</v>
      </c>
      <c r="F1" s="11" t="s">
        <v>5</v>
      </c>
      <c r="G1" s="11" t="s">
        <v>6</v>
      </c>
      <c r="H1" s="11" t="s">
        <v>7</v>
      </c>
    </row>
    <row r="2" spans="1:8" x14ac:dyDescent="0.35">
      <c r="A2" s="241"/>
      <c r="B2" s="241"/>
      <c r="C2" s="241"/>
      <c r="D2" s="241"/>
      <c r="E2" s="241"/>
      <c r="F2" s="241"/>
      <c r="G2" s="241"/>
      <c r="H2" s="241"/>
    </row>
    <row r="3" spans="1:8" x14ac:dyDescent="0.35">
      <c r="A3" s="2"/>
      <c r="B3" s="4"/>
      <c r="C3" s="5"/>
      <c r="D3" s="5"/>
      <c r="E3" s="5"/>
      <c r="F3" s="5"/>
      <c r="G3" s="5"/>
      <c r="H3" s="5"/>
    </row>
    <row r="4" spans="1:8" x14ac:dyDescent="0.35">
      <c r="A4" s="4"/>
      <c r="B4" s="4"/>
      <c r="C4" s="5"/>
      <c r="D4" s="5"/>
      <c r="E4" s="5"/>
      <c r="F4" s="5"/>
      <c r="G4" s="5"/>
      <c r="H4" s="5"/>
    </row>
    <row r="5" spans="1:8" x14ac:dyDescent="0.35">
      <c r="A5" s="4"/>
      <c r="B5" s="4"/>
      <c r="C5" s="5"/>
      <c r="D5" s="5"/>
      <c r="E5" s="5"/>
      <c r="F5" s="5"/>
      <c r="G5" s="5"/>
      <c r="H5" s="5"/>
    </row>
    <row r="6" spans="1:8" x14ac:dyDescent="0.35">
      <c r="A6" s="4"/>
      <c r="B6" s="4"/>
      <c r="C6" s="5"/>
      <c r="D6" s="5"/>
      <c r="E6" s="5"/>
      <c r="F6" s="5"/>
      <c r="G6" s="5"/>
      <c r="H6" s="5"/>
    </row>
    <row r="7" spans="1:8" x14ac:dyDescent="0.35">
      <c r="A7" s="2"/>
      <c r="B7" s="2"/>
      <c r="C7" s="3"/>
      <c r="D7" s="3"/>
      <c r="E7" s="3"/>
      <c r="F7" s="3"/>
      <c r="G7" s="3"/>
      <c r="H7" s="3"/>
    </row>
    <row r="8" spans="1:8" x14ac:dyDescent="0.35">
      <c r="A8" s="2"/>
      <c r="B8" s="2"/>
      <c r="C8" s="3"/>
      <c r="D8" s="3"/>
      <c r="E8" s="3"/>
      <c r="F8" s="3"/>
      <c r="G8" s="3"/>
      <c r="H8" s="3"/>
    </row>
    <row r="9" spans="1:8" x14ac:dyDescent="0.35">
      <c r="A9" s="2"/>
      <c r="B9" s="4"/>
      <c r="C9" s="5"/>
      <c r="D9" s="5"/>
      <c r="E9" s="5"/>
      <c r="F9" s="5"/>
      <c r="G9" s="5"/>
      <c r="H9" s="5"/>
    </row>
    <row r="10" spans="1:8" x14ac:dyDescent="0.35">
      <c r="A10" s="4"/>
      <c r="B10" s="4"/>
      <c r="C10" s="5"/>
      <c r="D10" s="5"/>
      <c r="E10" s="5"/>
      <c r="F10" s="5"/>
      <c r="G10" s="5"/>
      <c r="H10" s="5"/>
    </row>
    <row r="11" spans="1:8" x14ac:dyDescent="0.35">
      <c r="A11" s="2"/>
      <c r="B11" s="2"/>
      <c r="C11" s="3"/>
      <c r="D11" s="3"/>
      <c r="E11" s="3"/>
      <c r="F11" s="3"/>
      <c r="G11" s="3"/>
      <c r="H11" s="3"/>
    </row>
    <row r="12" spans="1:8" x14ac:dyDescent="0.35">
      <c r="A12" s="2"/>
      <c r="B12" s="2"/>
      <c r="C12" s="3"/>
      <c r="D12" s="3"/>
      <c r="E12" s="3"/>
      <c r="F12" s="3"/>
      <c r="G12" s="3"/>
      <c r="H12" s="3"/>
    </row>
    <row r="13" spans="1:8" x14ac:dyDescent="0.35">
      <c r="A13" s="2"/>
      <c r="B13" s="4"/>
      <c r="C13" s="5"/>
      <c r="D13" s="5"/>
      <c r="E13" s="5"/>
      <c r="F13" s="5"/>
      <c r="G13" s="5"/>
      <c r="H13" s="5"/>
    </row>
    <row r="14" spans="1:8" x14ac:dyDescent="0.35">
      <c r="A14" s="4"/>
      <c r="B14" s="4"/>
      <c r="C14" s="5"/>
      <c r="D14" s="5"/>
      <c r="E14" s="5"/>
      <c r="F14" s="5"/>
      <c r="G14" s="5"/>
      <c r="H14" s="5"/>
    </row>
    <row r="15" spans="1:8" x14ac:dyDescent="0.35">
      <c r="A15" s="4"/>
      <c r="B15" s="4"/>
      <c r="C15" s="5"/>
      <c r="D15" s="5"/>
      <c r="E15" s="5"/>
      <c r="F15" s="5"/>
      <c r="G15" s="5"/>
      <c r="H15" s="5"/>
    </row>
    <row r="16" spans="1:8" x14ac:dyDescent="0.35">
      <c r="A16" s="4"/>
      <c r="B16" s="4"/>
      <c r="C16" s="5"/>
      <c r="D16" s="5"/>
      <c r="E16" s="5"/>
      <c r="F16" s="5"/>
      <c r="G16" s="5"/>
      <c r="H16" s="5"/>
    </row>
    <row r="17" spans="1:8" x14ac:dyDescent="0.35">
      <c r="A17" s="2"/>
      <c r="B17" s="2"/>
      <c r="C17" s="3"/>
      <c r="D17" s="3"/>
      <c r="E17" s="3"/>
      <c r="F17" s="3"/>
      <c r="G17" s="3"/>
      <c r="H17" s="3"/>
    </row>
    <row r="18" spans="1:8" x14ac:dyDescent="0.35">
      <c r="A18" s="2"/>
      <c r="B18" s="2"/>
      <c r="C18" s="3"/>
      <c r="D18" s="3"/>
      <c r="E18" s="3"/>
      <c r="F18" s="3"/>
      <c r="G18" s="3"/>
      <c r="H18" s="3"/>
    </row>
    <row r="19" spans="1:8" x14ac:dyDescent="0.35">
      <c r="A19" s="2"/>
      <c r="B19" s="4"/>
      <c r="C19" s="5"/>
      <c r="D19" s="5"/>
      <c r="E19" s="5"/>
      <c r="F19" s="5"/>
      <c r="G19" s="5"/>
      <c r="H19" s="5"/>
    </row>
    <row r="20" spans="1:8" x14ac:dyDescent="0.35">
      <c r="A20" s="4"/>
      <c r="B20" s="4"/>
      <c r="C20" s="5"/>
      <c r="D20" s="5"/>
      <c r="E20" s="5"/>
      <c r="F20" s="5"/>
      <c r="G20" s="5"/>
      <c r="H20" s="5"/>
    </row>
    <row r="21" spans="1:8" x14ac:dyDescent="0.35">
      <c r="A21" s="4"/>
      <c r="B21" s="4"/>
      <c r="C21" s="5"/>
      <c r="D21" s="5"/>
      <c r="E21" s="5"/>
      <c r="F21" s="5"/>
      <c r="G21" s="5"/>
      <c r="H21" s="5"/>
    </row>
    <row r="22" spans="1:8" x14ac:dyDescent="0.35">
      <c r="A22" s="4"/>
      <c r="B22" s="4"/>
      <c r="C22" s="5"/>
      <c r="D22" s="5"/>
      <c r="E22" s="5"/>
      <c r="F22" s="5"/>
      <c r="G22" s="5"/>
      <c r="H22" s="5"/>
    </row>
    <row r="23" spans="1:8" x14ac:dyDescent="0.35">
      <c r="A23" s="4"/>
      <c r="B23" s="4"/>
      <c r="C23" s="5"/>
      <c r="D23" s="5"/>
      <c r="E23" s="5"/>
      <c r="F23" s="5"/>
      <c r="G23" s="5"/>
      <c r="H23" s="5"/>
    </row>
    <row r="24" spans="1:8" x14ac:dyDescent="0.35">
      <c r="A24" s="2"/>
      <c r="B24" s="2"/>
      <c r="C24" s="3"/>
      <c r="D24" s="3"/>
      <c r="E24" s="3"/>
      <c r="F24" s="3"/>
      <c r="G24" s="3"/>
      <c r="H24" s="3"/>
    </row>
    <row r="25" spans="1:8" x14ac:dyDescent="0.35">
      <c r="A25" s="2"/>
      <c r="B25" s="2"/>
      <c r="C25" s="3"/>
      <c r="D25" s="3"/>
      <c r="E25" s="3"/>
      <c r="F25" s="3"/>
      <c r="G25" s="3"/>
      <c r="H25" s="3"/>
    </row>
    <row r="26" spans="1:8" x14ac:dyDescent="0.35">
      <c r="A26" s="2"/>
      <c r="B26" s="4"/>
      <c r="C26" s="5"/>
      <c r="D26" s="5"/>
      <c r="E26" s="5"/>
      <c r="F26" s="5"/>
      <c r="G26" s="5"/>
      <c r="H26" s="5"/>
    </row>
    <row r="27" spans="1:8" x14ac:dyDescent="0.35">
      <c r="A27" s="4"/>
      <c r="B27" s="4"/>
      <c r="C27" s="5"/>
      <c r="D27" s="5"/>
      <c r="E27" s="5"/>
      <c r="F27" s="5"/>
      <c r="G27" s="5"/>
      <c r="H27" s="5"/>
    </row>
    <row r="28" spans="1:8" x14ac:dyDescent="0.35">
      <c r="A28" s="4"/>
      <c r="B28" s="4"/>
      <c r="C28" s="5"/>
      <c r="D28" s="5"/>
      <c r="E28" s="5"/>
      <c r="F28" s="5"/>
      <c r="G28" s="5"/>
      <c r="H28" s="5"/>
    </row>
    <row r="29" spans="1:8" x14ac:dyDescent="0.35">
      <c r="A29" s="4"/>
      <c r="B29" s="4"/>
      <c r="C29" s="5"/>
      <c r="D29" s="5"/>
      <c r="E29" s="5"/>
      <c r="F29" s="5"/>
      <c r="G29" s="5"/>
      <c r="H29" s="5"/>
    </row>
    <row r="30" spans="1:8" x14ac:dyDescent="0.35">
      <c r="A30" s="2"/>
      <c r="B30" s="2"/>
      <c r="C30" s="3"/>
      <c r="D30" s="3"/>
      <c r="E30" s="3"/>
      <c r="F30" s="3"/>
      <c r="G30" s="3"/>
      <c r="H30" s="3"/>
    </row>
    <row r="31" spans="1:8" x14ac:dyDescent="0.35">
      <c r="A31" s="2"/>
      <c r="B31" s="2"/>
      <c r="C31" s="3"/>
      <c r="D31" s="3"/>
      <c r="E31" s="3"/>
      <c r="F31" s="3"/>
      <c r="G31" s="3"/>
      <c r="H31" s="3"/>
    </row>
    <row r="32" spans="1:8" x14ac:dyDescent="0.35">
      <c r="A32" s="2"/>
      <c r="B32" s="4"/>
      <c r="C32" s="5"/>
      <c r="D32" s="5"/>
      <c r="E32" s="5"/>
      <c r="F32" s="5"/>
      <c r="G32" s="5"/>
      <c r="H32" s="5"/>
    </row>
    <row r="33" spans="1:8" x14ac:dyDescent="0.35">
      <c r="A33" s="4"/>
      <c r="B33" s="4"/>
      <c r="C33" s="5"/>
      <c r="D33" s="5"/>
      <c r="E33" s="5"/>
      <c r="F33" s="5"/>
      <c r="G33" s="5"/>
      <c r="H33" s="5"/>
    </row>
    <row r="34" spans="1:8" x14ac:dyDescent="0.35">
      <c r="A34" s="4"/>
      <c r="B34" s="4"/>
      <c r="C34" s="5"/>
      <c r="D34" s="5"/>
      <c r="E34" s="5"/>
      <c r="F34" s="5"/>
      <c r="G34" s="5"/>
      <c r="H34" s="5"/>
    </row>
    <row r="35" spans="1:8" x14ac:dyDescent="0.35">
      <c r="A35" s="2"/>
      <c r="B35" s="2"/>
      <c r="C35" s="3"/>
      <c r="D35" s="3"/>
      <c r="E35" s="3"/>
      <c r="F35" s="3"/>
      <c r="G35" s="3"/>
      <c r="H35" s="3"/>
    </row>
    <row r="36" spans="1:8" x14ac:dyDescent="0.35">
      <c r="A36" s="2"/>
      <c r="B36" s="2"/>
      <c r="C36" s="3"/>
      <c r="D36" s="3"/>
      <c r="E36" s="3"/>
      <c r="F36" s="3"/>
      <c r="G36" s="3"/>
      <c r="H36" s="3"/>
    </row>
    <row r="37" spans="1:8" x14ac:dyDescent="0.35">
      <c r="A37" s="2"/>
      <c r="B37" s="4"/>
      <c r="C37" s="5"/>
      <c r="D37" s="5"/>
      <c r="E37" s="5"/>
      <c r="F37" s="5"/>
      <c r="G37" s="5"/>
      <c r="H37" s="5"/>
    </row>
    <row r="38" spans="1:8" x14ac:dyDescent="0.35">
      <c r="A38" s="4"/>
      <c r="B38" s="9"/>
      <c r="C38" s="5"/>
      <c r="D38" s="5"/>
      <c r="E38" s="5"/>
      <c r="F38" s="5"/>
      <c r="G38" s="5"/>
      <c r="H38" s="5"/>
    </row>
    <row r="39" spans="1:8" x14ac:dyDescent="0.35">
      <c r="A39" s="4"/>
      <c r="B39" s="9"/>
      <c r="C39" s="5"/>
      <c r="D39" s="5"/>
      <c r="E39" s="5"/>
      <c r="F39" s="5"/>
      <c r="G39" s="5"/>
      <c r="H39" s="5"/>
    </row>
    <row r="40" spans="1:8" x14ac:dyDescent="0.35">
      <c r="A40" s="4"/>
      <c r="B40" s="4"/>
      <c r="C40" s="5"/>
      <c r="D40" s="5"/>
      <c r="E40" s="5"/>
      <c r="F40" s="5"/>
      <c r="G40" s="5"/>
      <c r="H40" s="5"/>
    </row>
    <row r="41" spans="1:8" x14ac:dyDescent="0.35">
      <c r="A41" s="4"/>
      <c r="B41" s="9"/>
      <c r="C41" s="5"/>
      <c r="D41" s="5"/>
      <c r="E41" s="5"/>
      <c r="F41" s="5"/>
      <c r="G41" s="5"/>
      <c r="H41" s="5"/>
    </row>
    <row r="42" spans="1:8" x14ac:dyDescent="0.35">
      <c r="A42" s="4"/>
      <c r="B42" s="4"/>
      <c r="C42" s="5"/>
      <c r="D42" s="5"/>
      <c r="E42" s="5"/>
      <c r="F42" s="5"/>
      <c r="G42" s="5"/>
      <c r="H42" s="5"/>
    </row>
    <row r="43" spans="1:8" x14ac:dyDescent="0.35">
      <c r="A43" s="4"/>
      <c r="B43" s="9"/>
      <c r="C43" s="5"/>
      <c r="D43" s="5"/>
      <c r="E43" s="5"/>
      <c r="F43" s="5"/>
      <c r="G43" s="5"/>
      <c r="H43" s="5"/>
    </row>
    <row r="44" spans="1:8" x14ac:dyDescent="0.35">
      <c r="A44" s="4"/>
      <c r="B44" s="4"/>
      <c r="C44" s="5"/>
      <c r="D44" s="5"/>
      <c r="E44" s="5"/>
      <c r="F44" s="5"/>
      <c r="G44" s="5"/>
      <c r="H44" s="5"/>
    </row>
    <row r="45" spans="1:8" x14ac:dyDescent="0.35">
      <c r="A45" s="4"/>
      <c r="B45" s="9"/>
      <c r="C45" s="5"/>
      <c r="D45" s="5"/>
      <c r="E45" s="5"/>
      <c r="F45" s="5"/>
      <c r="G45" s="5"/>
      <c r="H45" s="5"/>
    </row>
    <row r="46" spans="1:8" x14ac:dyDescent="0.35">
      <c r="A46" s="4"/>
      <c r="B46" s="4"/>
      <c r="C46" s="5"/>
      <c r="D46" s="5"/>
      <c r="E46" s="5"/>
      <c r="F46" s="5"/>
      <c r="G46" s="5"/>
      <c r="H46" s="5"/>
    </row>
    <row r="47" spans="1:8" x14ac:dyDescent="0.35">
      <c r="A47" s="4"/>
      <c r="B47" s="9"/>
      <c r="C47" s="5"/>
      <c r="D47" s="5"/>
      <c r="E47" s="5"/>
      <c r="F47" s="5"/>
      <c r="G47" s="5"/>
      <c r="H47" s="5"/>
    </row>
    <row r="48" spans="1:8" x14ac:dyDescent="0.35">
      <c r="A48" s="4"/>
      <c r="B48" s="9"/>
      <c r="C48" s="5"/>
      <c r="D48" s="5"/>
      <c r="E48" s="5"/>
      <c r="F48" s="5"/>
      <c r="G48" s="5"/>
      <c r="H48" s="5"/>
    </row>
    <row r="49" spans="1:8" x14ac:dyDescent="0.35">
      <c r="A49" s="4"/>
      <c r="B49" s="4"/>
      <c r="C49" s="5"/>
      <c r="D49" s="5"/>
      <c r="E49" s="5"/>
      <c r="F49" s="5"/>
      <c r="G49" s="5"/>
      <c r="H49" s="5"/>
    </row>
    <row r="50" spans="1:8" x14ac:dyDescent="0.35">
      <c r="A50" s="4"/>
      <c r="B50" s="4"/>
      <c r="C50" s="5"/>
      <c r="D50" s="5"/>
      <c r="E50" s="5"/>
      <c r="F50" s="5"/>
      <c r="G50" s="5"/>
      <c r="H50" s="5"/>
    </row>
    <row r="51" spans="1:8" x14ac:dyDescent="0.35">
      <c r="A51" s="4"/>
      <c r="B51" s="9"/>
      <c r="C51" s="5"/>
      <c r="D51" s="5"/>
      <c r="E51" s="5"/>
      <c r="F51" s="5"/>
      <c r="G51" s="5"/>
      <c r="H51" s="5"/>
    </row>
    <row r="52" spans="1:8" x14ac:dyDescent="0.35">
      <c r="A52" s="4"/>
      <c r="B52" s="4"/>
      <c r="C52" s="5"/>
      <c r="D52" s="5"/>
      <c r="E52" s="5"/>
      <c r="F52" s="5"/>
      <c r="G52" s="5"/>
      <c r="H52" s="5"/>
    </row>
    <row r="53" spans="1:8" x14ac:dyDescent="0.35">
      <c r="A53" s="4"/>
      <c r="B53" s="9"/>
      <c r="C53" s="5"/>
      <c r="D53" s="5"/>
      <c r="E53" s="5"/>
      <c r="F53" s="5"/>
      <c r="G53" s="5"/>
      <c r="H53" s="5"/>
    </row>
    <row r="54" spans="1:8" x14ac:dyDescent="0.35">
      <c r="A54" s="4"/>
      <c r="B54" s="4"/>
      <c r="C54" s="5"/>
      <c r="D54" s="5"/>
      <c r="E54" s="5"/>
      <c r="F54" s="5"/>
      <c r="G54" s="5"/>
      <c r="H54" s="5"/>
    </row>
    <row r="55" spans="1:8" x14ac:dyDescent="0.35">
      <c r="A55" s="4"/>
      <c r="B55" s="4"/>
      <c r="C55" s="5"/>
      <c r="D55" s="5"/>
      <c r="E55" s="5"/>
      <c r="F55" s="5"/>
      <c r="G55" s="5"/>
      <c r="H55" s="5"/>
    </row>
    <row r="56" spans="1:8" x14ac:dyDescent="0.35">
      <c r="A56" s="4"/>
      <c r="B56" s="4"/>
      <c r="C56" s="5"/>
      <c r="D56" s="5"/>
      <c r="E56" s="5"/>
      <c r="F56" s="5"/>
      <c r="G56" s="5"/>
      <c r="H56" s="5"/>
    </row>
    <row r="57" spans="1:8" x14ac:dyDescent="0.35">
      <c r="A57" s="4"/>
      <c r="B57" s="4"/>
      <c r="C57" s="5"/>
      <c r="D57" s="5"/>
      <c r="E57" s="5"/>
      <c r="F57" s="5"/>
      <c r="G57" s="5"/>
      <c r="H57" s="5"/>
    </row>
    <row r="58" spans="1:8" x14ac:dyDescent="0.35">
      <c r="A58" s="4"/>
      <c r="B58" s="4"/>
      <c r="C58" s="5"/>
      <c r="D58" s="5"/>
      <c r="E58" s="5"/>
      <c r="F58" s="5"/>
      <c r="G58" s="5"/>
      <c r="H58" s="5"/>
    </row>
    <row r="59" spans="1:8" x14ac:dyDescent="0.35">
      <c r="A59" s="4"/>
      <c r="B59" s="4"/>
      <c r="C59" s="5"/>
      <c r="D59" s="5"/>
      <c r="E59" s="5"/>
      <c r="F59" s="5"/>
      <c r="G59" s="5"/>
      <c r="H59" s="5"/>
    </row>
    <row r="60" spans="1:8" x14ac:dyDescent="0.35">
      <c r="A60" s="4"/>
      <c r="B60" s="4"/>
      <c r="C60" s="5"/>
      <c r="D60" s="5"/>
      <c r="E60" s="5"/>
      <c r="F60" s="5"/>
      <c r="G60" s="5"/>
      <c r="H60" s="5"/>
    </row>
    <row r="61" spans="1:8" x14ac:dyDescent="0.35">
      <c r="A61" s="4"/>
      <c r="B61" s="4"/>
      <c r="C61" s="5"/>
      <c r="D61" s="5"/>
      <c r="E61" s="5"/>
      <c r="F61" s="5"/>
      <c r="G61" s="5"/>
      <c r="H61" s="5"/>
    </row>
    <row r="62" spans="1:8" x14ac:dyDescent="0.35">
      <c r="A62" s="14"/>
      <c r="B62" s="14"/>
      <c r="C62" s="15"/>
      <c r="D62" s="15"/>
      <c r="E62" s="15"/>
      <c r="F62" s="15"/>
      <c r="G62" s="15"/>
      <c r="H62" s="15"/>
    </row>
    <row r="63" spans="1:8" x14ac:dyDescent="0.35">
      <c r="A63" s="14"/>
      <c r="B63" s="14"/>
      <c r="C63" s="15"/>
      <c r="D63" s="15"/>
      <c r="E63" s="15"/>
      <c r="F63" s="15"/>
      <c r="G63" s="15"/>
      <c r="H63" s="15"/>
    </row>
    <row r="64" spans="1:8" x14ac:dyDescent="0.35">
      <c r="A64" s="2"/>
      <c r="B64" s="4"/>
      <c r="C64" s="5"/>
      <c r="D64" s="5"/>
      <c r="E64" s="5"/>
      <c r="F64" s="5"/>
      <c r="G64" s="5"/>
      <c r="H64" s="5"/>
    </row>
    <row r="65" spans="1:8" x14ac:dyDescent="0.35">
      <c r="A65" s="4"/>
      <c r="B65" s="4"/>
      <c r="C65" s="5"/>
      <c r="D65" s="5"/>
      <c r="E65" s="5"/>
      <c r="F65" s="5"/>
      <c r="G65" s="5"/>
      <c r="H65" s="5"/>
    </row>
    <row r="66" spans="1:8" x14ac:dyDescent="0.35">
      <c r="A66" s="4"/>
      <c r="B66" s="4"/>
      <c r="C66" s="5"/>
      <c r="D66" s="5"/>
      <c r="E66" s="5"/>
      <c r="F66" s="5"/>
      <c r="G66" s="5"/>
      <c r="H66" s="5"/>
    </row>
    <row r="67" spans="1:8" x14ac:dyDescent="0.35">
      <c r="A67" s="4"/>
      <c r="B67" s="4"/>
      <c r="C67" s="5"/>
      <c r="D67" s="5"/>
      <c r="E67" s="5"/>
      <c r="F67" s="5"/>
      <c r="G67" s="5"/>
      <c r="H67" s="5"/>
    </row>
    <row r="68" spans="1:8" x14ac:dyDescent="0.35">
      <c r="A68" s="4"/>
      <c r="B68" s="4"/>
      <c r="C68" s="5"/>
      <c r="D68" s="5"/>
      <c r="E68" s="5"/>
      <c r="F68" s="5"/>
      <c r="G68" s="5"/>
      <c r="H68" s="5"/>
    </row>
    <row r="69" spans="1:8" x14ac:dyDescent="0.35">
      <c r="A69" s="4"/>
      <c r="B69" s="4"/>
      <c r="C69" s="5"/>
      <c r="D69" s="5"/>
      <c r="E69" s="5"/>
      <c r="F69" s="5"/>
      <c r="G69" s="5"/>
      <c r="H69" s="5"/>
    </row>
    <row r="70" spans="1:8" x14ac:dyDescent="0.35">
      <c r="A70" s="4"/>
      <c r="B70" s="4"/>
      <c r="C70" s="5"/>
      <c r="D70" s="5"/>
      <c r="E70" s="5"/>
      <c r="F70" s="5"/>
      <c r="G70" s="5"/>
      <c r="H70" s="5"/>
    </row>
    <row r="71" spans="1:8" x14ac:dyDescent="0.35">
      <c r="A71" s="4"/>
      <c r="B71" s="4"/>
      <c r="C71" s="5"/>
      <c r="D71" s="5"/>
      <c r="E71" s="5"/>
      <c r="F71" s="5"/>
      <c r="G71" s="5"/>
      <c r="H71" s="5"/>
    </row>
    <row r="72" spans="1:8" x14ac:dyDescent="0.35">
      <c r="A72" s="4"/>
      <c r="B72" s="4"/>
      <c r="C72" s="5"/>
      <c r="D72" s="5"/>
      <c r="E72" s="5"/>
      <c r="F72" s="5"/>
      <c r="G72" s="5"/>
      <c r="H72" s="5"/>
    </row>
    <row r="73" spans="1:8" x14ac:dyDescent="0.35">
      <c r="A73" s="4"/>
      <c r="B73" s="4"/>
      <c r="C73" s="5"/>
      <c r="D73" s="5"/>
      <c r="E73" s="5"/>
      <c r="F73" s="5"/>
      <c r="G73" s="5"/>
      <c r="H73" s="5"/>
    </row>
    <row r="74" spans="1:8" x14ac:dyDescent="0.35">
      <c r="A74" s="4"/>
      <c r="B74" s="4"/>
      <c r="C74" s="5"/>
      <c r="D74" s="5"/>
      <c r="E74" s="5"/>
      <c r="F74" s="5"/>
      <c r="G74" s="5"/>
      <c r="H74" s="5"/>
    </row>
    <row r="75" spans="1:8" x14ac:dyDescent="0.35">
      <c r="A75" s="4"/>
      <c r="B75" s="4"/>
      <c r="C75" s="5"/>
      <c r="D75" s="5"/>
      <c r="E75" s="5"/>
      <c r="F75" s="5"/>
      <c r="G75" s="5"/>
      <c r="H75" s="5"/>
    </row>
    <row r="76" spans="1:8" x14ac:dyDescent="0.35">
      <c r="A76" s="4"/>
      <c r="B76" s="4"/>
      <c r="C76" s="5"/>
      <c r="D76" s="5"/>
      <c r="E76" s="5"/>
      <c r="F76" s="5"/>
      <c r="G76" s="5"/>
      <c r="H76" s="5"/>
    </row>
    <row r="77" spans="1:8" x14ac:dyDescent="0.35">
      <c r="A77" s="4"/>
      <c r="B77" s="4"/>
      <c r="C77" s="5"/>
      <c r="D77" s="5"/>
      <c r="E77" s="5"/>
      <c r="F77" s="5"/>
      <c r="G77" s="5"/>
      <c r="H77" s="5"/>
    </row>
    <row r="78" spans="1:8" x14ac:dyDescent="0.35">
      <c r="A78" s="4"/>
      <c r="B78" s="4"/>
      <c r="C78" s="5"/>
      <c r="D78" s="5"/>
      <c r="E78" s="5"/>
      <c r="F78" s="5"/>
      <c r="G78" s="5"/>
      <c r="H78" s="5"/>
    </row>
    <row r="79" spans="1:8" x14ac:dyDescent="0.35">
      <c r="A79" s="4"/>
      <c r="B79" s="4"/>
      <c r="C79" s="5"/>
      <c r="D79" s="5"/>
      <c r="E79" s="5"/>
      <c r="F79" s="5"/>
      <c r="G79" s="5"/>
      <c r="H79" s="5"/>
    </row>
    <row r="80" spans="1:8" x14ac:dyDescent="0.35">
      <c r="A80" s="2"/>
      <c r="B80" s="2"/>
      <c r="C80" s="3"/>
      <c r="D80" s="3"/>
      <c r="E80" s="3"/>
      <c r="F80" s="3"/>
      <c r="G80" s="3"/>
      <c r="H80" s="3"/>
    </row>
    <row r="81" spans="1:8" x14ac:dyDescent="0.35">
      <c r="A81" s="2"/>
      <c r="B81" s="2"/>
      <c r="C81" s="3"/>
      <c r="D81" s="3"/>
      <c r="E81" s="3"/>
      <c r="F81" s="3"/>
      <c r="G81" s="3"/>
      <c r="H81" s="3"/>
    </row>
    <row r="82" spans="1:8" x14ac:dyDescent="0.35">
      <c r="A82" s="2"/>
      <c r="B82" s="2"/>
      <c r="C82" s="3"/>
      <c r="D82" s="3"/>
      <c r="E82" s="3"/>
      <c r="F82" s="3"/>
      <c r="G82" s="3"/>
      <c r="H82" s="3"/>
    </row>
    <row r="83" spans="1:8" x14ac:dyDescent="0.35">
      <c r="A83" s="2"/>
      <c r="B83" s="2"/>
      <c r="C83" s="3"/>
      <c r="D83" s="3"/>
      <c r="E83" s="3"/>
      <c r="F83" s="3"/>
      <c r="G83" s="3"/>
      <c r="H83" s="3"/>
    </row>
    <row r="84" spans="1:8" x14ac:dyDescent="0.35">
      <c r="A84" s="2"/>
      <c r="B84" s="2"/>
      <c r="C84" s="3"/>
      <c r="D84" s="3"/>
      <c r="E84" s="3"/>
      <c r="F84" s="3"/>
      <c r="G84" s="3"/>
      <c r="H84" s="3"/>
    </row>
    <row r="85" spans="1:8" x14ac:dyDescent="0.35">
      <c r="A85" s="242"/>
      <c r="B85" s="242"/>
      <c r="C85" s="242"/>
      <c r="D85" s="242"/>
      <c r="E85" s="242"/>
      <c r="F85" s="242"/>
      <c r="G85" s="242"/>
      <c r="H85" s="242"/>
    </row>
    <row r="86" spans="1:8" x14ac:dyDescent="0.35">
      <c r="A86" s="2"/>
      <c r="B86" s="4"/>
      <c r="C86" s="5"/>
      <c r="D86" s="5"/>
      <c r="E86" s="5"/>
      <c r="F86" s="5"/>
      <c r="G86" s="5"/>
      <c r="H86" s="5"/>
    </row>
    <row r="87" spans="1:8" x14ac:dyDescent="0.35">
      <c r="A87" s="4"/>
      <c r="B87" s="4"/>
      <c r="C87" s="5"/>
      <c r="D87" s="5"/>
      <c r="E87" s="5"/>
      <c r="F87" s="5"/>
      <c r="G87" s="5"/>
      <c r="H87" s="5"/>
    </row>
    <row r="88" spans="1:8" x14ac:dyDescent="0.35">
      <c r="A88" s="2"/>
      <c r="B88" s="2"/>
      <c r="C88" s="3"/>
      <c r="D88" s="3"/>
      <c r="E88" s="3"/>
      <c r="F88" s="3"/>
      <c r="G88" s="3"/>
      <c r="H88" s="3"/>
    </row>
    <row r="89" spans="1:8" x14ac:dyDescent="0.35">
      <c r="A89" s="2"/>
      <c r="B89" s="2"/>
      <c r="C89" s="3"/>
      <c r="D89" s="3"/>
      <c r="E89" s="3"/>
      <c r="F89" s="3"/>
      <c r="G89" s="3"/>
      <c r="H89" s="3"/>
    </row>
    <row r="90" spans="1:8" x14ac:dyDescent="0.35">
      <c r="A90" s="2"/>
      <c r="B90" s="4"/>
      <c r="C90" s="5"/>
      <c r="D90" s="5"/>
      <c r="E90" s="5"/>
      <c r="F90" s="5"/>
      <c r="G90" s="5"/>
      <c r="H90" s="5"/>
    </row>
    <row r="91" spans="1:8" x14ac:dyDescent="0.35">
      <c r="A91" s="4"/>
      <c r="B91" s="4"/>
      <c r="C91" s="5"/>
      <c r="D91" s="5"/>
      <c r="E91" s="5"/>
      <c r="F91" s="5"/>
      <c r="G91" s="5"/>
      <c r="H91" s="5"/>
    </row>
    <row r="92" spans="1:8" x14ac:dyDescent="0.35">
      <c r="A92" s="4"/>
      <c r="B92" s="4"/>
      <c r="C92" s="5"/>
      <c r="D92" s="5"/>
      <c r="E92" s="5"/>
      <c r="F92" s="5"/>
      <c r="G92" s="5"/>
      <c r="H92" s="5"/>
    </row>
    <row r="93" spans="1:8" x14ac:dyDescent="0.35">
      <c r="A93" s="4"/>
      <c r="B93" s="4"/>
      <c r="C93" s="5"/>
      <c r="D93" s="5"/>
      <c r="E93" s="5"/>
      <c r="F93" s="5"/>
      <c r="G93" s="5"/>
      <c r="H93" s="5"/>
    </row>
    <row r="94" spans="1:8" x14ac:dyDescent="0.35">
      <c r="A94" s="4"/>
      <c r="B94" s="4"/>
      <c r="C94" s="5"/>
      <c r="D94" s="5"/>
      <c r="E94" s="5"/>
      <c r="F94" s="5"/>
      <c r="G94" s="5"/>
      <c r="H94" s="5"/>
    </row>
    <row r="95" spans="1:8" x14ac:dyDescent="0.35">
      <c r="A95" s="4"/>
      <c r="B95" s="4"/>
      <c r="C95" s="5"/>
      <c r="D95" s="5"/>
      <c r="E95" s="5"/>
      <c r="F95" s="5"/>
      <c r="G95" s="5"/>
      <c r="H95" s="5"/>
    </row>
    <row r="96" spans="1:8" x14ac:dyDescent="0.35">
      <c r="A96" s="4"/>
      <c r="B96" s="4"/>
      <c r="C96" s="5"/>
      <c r="D96" s="5"/>
      <c r="E96" s="5"/>
      <c r="F96" s="5"/>
      <c r="G96" s="5"/>
      <c r="H96" s="5"/>
    </row>
    <row r="97" spans="1:8" x14ac:dyDescent="0.35">
      <c r="A97" s="4"/>
      <c r="B97" s="4"/>
      <c r="C97" s="5"/>
      <c r="D97" s="5"/>
      <c r="E97" s="5"/>
      <c r="F97" s="5"/>
      <c r="G97" s="5"/>
      <c r="H97" s="5"/>
    </row>
    <row r="98" spans="1:8" x14ac:dyDescent="0.35">
      <c r="A98" s="4"/>
      <c r="B98" s="4"/>
      <c r="C98" s="5"/>
      <c r="D98" s="5"/>
      <c r="E98" s="5"/>
      <c r="F98" s="5"/>
      <c r="G98" s="5"/>
      <c r="H98" s="5"/>
    </row>
    <row r="99" spans="1:8" x14ac:dyDescent="0.35">
      <c r="A99" s="4"/>
      <c r="B99" s="4"/>
      <c r="C99" s="5"/>
      <c r="D99" s="5"/>
      <c r="E99" s="5"/>
      <c r="F99" s="5"/>
      <c r="G99" s="5"/>
      <c r="H99" s="5"/>
    </row>
    <row r="100" spans="1:8" x14ac:dyDescent="0.35">
      <c r="A100" s="4"/>
      <c r="B100" s="4"/>
      <c r="C100" s="5"/>
      <c r="D100" s="5"/>
      <c r="E100" s="5"/>
      <c r="F100" s="5"/>
      <c r="G100" s="5"/>
      <c r="H100" s="5"/>
    </row>
    <row r="101" spans="1:8" x14ac:dyDescent="0.35">
      <c r="A101" s="2"/>
      <c r="B101" s="2"/>
      <c r="C101" s="3"/>
      <c r="D101" s="3"/>
      <c r="E101" s="3"/>
      <c r="F101" s="3"/>
      <c r="G101" s="3"/>
      <c r="H101" s="3"/>
    </row>
    <row r="102" spans="1:8" x14ac:dyDescent="0.35">
      <c r="A102" s="2"/>
      <c r="B102" s="2"/>
      <c r="C102" s="3"/>
      <c r="D102" s="3"/>
      <c r="E102" s="3"/>
      <c r="F102" s="3"/>
      <c r="G102" s="3"/>
      <c r="H102" s="3"/>
    </row>
    <row r="103" spans="1:8" x14ac:dyDescent="0.35">
      <c r="A103" s="2"/>
      <c r="B103" s="4"/>
      <c r="C103" s="5"/>
      <c r="D103" s="5"/>
      <c r="E103" s="5"/>
      <c r="F103" s="5"/>
      <c r="G103" s="5"/>
      <c r="H103" s="5"/>
    </row>
    <row r="104" spans="1:8" x14ac:dyDescent="0.35">
      <c r="A104" s="4"/>
      <c r="B104" s="4"/>
      <c r="C104" s="5"/>
      <c r="D104" s="5"/>
      <c r="E104" s="5"/>
      <c r="F104" s="5"/>
      <c r="G104" s="5"/>
      <c r="H104" s="5"/>
    </row>
    <row r="105" spans="1:8" x14ac:dyDescent="0.35">
      <c r="A105" s="4"/>
      <c r="B105" s="4"/>
      <c r="C105" s="5"/>
      <c r="D105" s="5"/>
      <c r="E105" s="5"/>
      <c r="F105" s="5"/>
      <c r="G105" s="5"/>
      <c r="H105" s="5"/>
    </row>
    <row r="106" spans="1:8" x14ac:dyDescent="0.35">
      <c r="A106" s="4"/>
      <c r="B106" s="4"/>
      <c r="C106" s="5"/>
      <c r="D106" s="5"/>
      <c r="E106" s="5"/>
      <c r="F106" s="5"/>
      <c r="G106" s="5"/>
      <c r="H106" s="5"/>
    </row>
    <row r="107" spans="1:8" x14ac:dyDescent="0.35">
      <c r="A107" s="4"/>
      <c r="B107" s="4"/>
      <c r="C107" s="5"/>
      <c r="D107" s="5"/>
      <c r="E107" s="5"/>
      <c r="F107" s="5"/>
      <c r="G107" s="5"/>
      <c r="H107" s="5"/>
    </row>
    <row r="108" spans="1:8" x14ac:dyDescent="0.35">
      <c r="A108" s="4"/>
      <c r="B108" s="4"/>
      <c r="C108" s="5"/>
      <c r="D108" s="5"/>
      <c r="E108" s="5"/>
      <c r="F108" s="5"/>
      <c r="G108" s="5"/>
      <c r="H108" s="5"/>
    </row>
    <row r="109" spans="1:8" x14ac:dyDescent="0.35">
      <c r="A109" s="4"/>
      <c r="B109" s="4"/>
      <c r="C109" s="5"/>
      <c r="D109" s="5"/>
      <c r="E109" s="5"/>
      <c r="F109" s="5"/>
      <c r="G109" s="5"/>
      <c r="H109" s="5"/>
    </row>
    <row r="110" spans="1:8" x14ac:dyDescent="0.35">
      <c r="A110" s="4"/>
      <c r="B110" s="4"/>
      <c r="C110" s="5"/>
      <c r="D110" s="5"/>
      <c r="E110" s="5"/>
      <c r="F110" s="5"/>
      <c r="G110" s="5"/>
      <c r="H110" s="5"/>
    </row>
    <row r="111" spans="1:8" x14ac:dyDescent="0.35">
      <c r="A111" s="4"/>
      <c r="B111" s="4"/>
      <c r="C111" s="5"/>
      <c r="D111" s="5"/>
      <c r="E111" s="5"/>
      <c r="F111" s="5"/>
      <c r="G111" s="5"/>
      <c r="H111" s="5"/>
    </row>
    <row r="112" spans="1:8" x14ac:dyDescent="0.35">
      <c r="A112" s="2"/>
      <c r="B112" s="2"/>
      <c r="C112" s="3"/>
      <c r="D112" s="3"/>
      <c r="E112" s="3"/>
      <c r="F112" s="3"/>
      <c r="G112" s="3"/>
      <c r="H112" s="3"/>
    </row>
    <row r="113" spans="1:8" x14ac:dyDescent="0.35">
      <c r="A113" s="2"/>
      <c r="B113" s="2"/>
      <c r="C113" s="3"/>
      <c r="D113" s="3"/>
      <c r="E113" s="3"/>
      <c r="F113" s="3"/>
      <c r="G113" s="3"/>
      <c r="H113" s="3"/>
    </row>
    <row r="114" spans="1:8" x14ac:dyDescent="0.35">
      <c r="A114" s="2"/>
      <c r="B114" s="4"/>
      <c r="C114" s="5"/>
      <c r="D114" s="5"/>
      <c r="E114" s="5"/>
      <c r="F114" s="5"/>
      <c r="G114" s="5"/>
      <c r="H114" s="5"/>
    </row>
    <row r="115" spans="1:8" x14ac:dyDescent="0.35">
      <c r="A115" s="4"/>
      <c r="B115" s="4"/>
      <c r="C115" s="5"/>
      <c r="D115" s="5"/>
      <c r="E115" s="5"/>
      <c r="F115" s="5"/>
      <c r="G115" s="5"/>
      <c r="H115" s="5"/>
    </row>
    <row r="116" spans="1:8" x14ac:dyDescent="0.35">
      <c r="A116" s="4"/>
      <c r="B116" s="4"/>
      <c r="C116" s="5"/>
      <c r="D116" s="5"/>
      <c r="E116" s="5"/>
      <c r="F116" s="5"/>
      <c r="G116" s="5"/>
      <c r="H116" s="5"/>
    </row>
    <row r="117" spans="1:8" x14ac:dyDescent="0.35">
      <c r="A117" s="2"/>
      <c r="B117" s="2"/>
      <c r="C117" s="3"/>
      <c r="D117" s="3"/>
      <c r="E117" s="3"/>
      <c r="F117" s="3"/>
      <c r="G117" s="3"/>
      <c r="H117" s="3"/>
    </row>
    <row r="118" spans="1:8" x14ac:dyDescent="0.35">
      <c r="A118" s="2"/>
      <c r="B118" s="2"/>
      <c r="C118" s="3"/>
      <c r="D118" s="3"/>
      <c r="E118" s="3"/>
      <c r="F118" s="3"/>
      <c r="G118" s="3"/>
      <c r="H118" s="3"/>
    </row>
    <row r="119" spans="1:8" x14ac:dyDescent="0.35">
      <c r="A119" s="2"/>
      <c r="B119" s="4"/>
      <c r="C119" s="5"/>
      <c r="D119" s="5"/>
      <c r="E119" s="5"/>
      <c r="F119" s="5"/>
      <c r="G119" s="5"/>
      <c r="H119" s="5"/>
    </row>
    <row r="120" spans="1:8" x14ac:dyDescent="0.35">
      <c r="A120" s="4"/>
      <c r="B120" s="4"/>
      <c r="C120" s="5"/>
      <c r="D120" s="5"/>
      <c r="E120" s="5"/>
      <c r="F120" s="5"/>
      <c r="G120" s="5"/>
      <c r="H120" s="5"/>
    </row>
    <row r="121" spans="1:8" x14ac:dyDescent="0.35">
      <c r="A121" s="2"/>
      <c r="B121" s="2"/>
      <c r="C121" s="3"/>
      <c r="D121" s="3"/>
      <c r="E121" s="3"/>
      <c r="F121" s="3"/>
      <c r="G121" s="3"/>
      <c r="H121" s="3"/>
    </row>
    <row r="122" spans="1:8" x14ac:dyDescent="0.35">
      <c r="A122" s="2"/>
      <c r="B122" s="2"/>
      <c r="C122" s="3"/>
      <c r="D122" s="3"/>
      <c r="E122" s="3"/>
      <c r="F122" s="3"/>
      <c r="G122" s="3"/>
      <c r="H122" s="3"/>
    </row>
    <row r="123" spans="1:8" x14ac:dyDescent="0.35">
      <c r="A123" s="2"/>
      <c r="B123" s="4"/>
      <c r="C123" s="5"/>
      <c r="D123" s="5"/>
      <c r="E123" s="5"/>
      <c r="F123" s="5"/>
      <c r="G123" s="5"/>
      <c r="H123" s="5"/>
    </row>
    <row r="124" spans="1:8" x14ac:dyDescent="0.35">
      <c r="A124" s="4"/>
      <c r="B124" s="4"/>
      <c r="C124" s="5"/>
      <c r="D124" s="5"/>
      <c r="E124" s="5"/>
      <c r="F124" s="5"/>
      <c r="G124" s="5"/>
      <c r="H124" s="5"/>
    </row>
    <row r="125" spans="1:8" x14ac:dyDescent="0.35">
      <c r="A125" s="4"/>
      <c r="B125" s="4"/>
      <c r="C125" s="5"/>
      <c r="D125" s="5"/>
      <c r="E125" s="5"/>
      <c r="F125" s="5"/>
      <c r="G125" s="5"/>
      <c r="H125" s="5"/>
    </row>
    <row r="126" spans="1:8" x14ac:dyDescent="0.35">
      <c r="A126" s="4"/>
      <c r="B126" s="4"/>
      <c r="C126" s="5"/>
      <c r="D126" s="5"/>
      <c r="E126" s="5"/>
      <c r="F126" s="5"/>
      <c r="G126" s="5"/>
      <c r="H126" s="5"/>
    </row>
    <row r="127" spans="1:8" x14ac:dyDescent="0.35">
      <c r="A127" s="4"/>
      <c r="B127" s="4"/>
      <c r="C127" s="5"/>
      <c r="D127" s="5"/>
      <c r="E127" s="5"/>
      <c r="F127" s="5"/>
      <c r="G127" s="5"/>
      <c r="H127" s="5"/>
    </row>
    <row r="128" spans="1:8" x14ac:dyDescent="0.35">
      <c r="A128" s="4"/>
      <c r="B128" s="4"/>
      <c r="C128" s="5"/>
      <c r="D128" s="5"/>
      <c r="E128" s="5"/>
      <c r="F128" s="5"/>
      <c r="G128" s="5"/>
      <c r="H128" s="5"/>
    </row>
    <row r="129" spans="1:8" x14ac:dyDescent="0.35">
      <c r="A129" s="4"/>
      <c r="B129" s="4"/>
      <c r="C129" s="5"/>
      <c r="D129" s="5"/>
      <c r="E129" s="5"/>
      <c r="F129" s="5"/>
      <c r="G129" s="5"/>
      <c r="H129" s="5"/>
    </row>
    <row r="130" spans="1:8" x14ac:dyDescent="0.35">
      <c r="A130" s="4"/>
      <c r="B130" s="4"/>
      <c r="C130" s="5"/>
      <c r="D130" s="5"/>
      <c r="E130" s="5"/>
      <c r="F130" s="5"/>
      <c r="G130" s="5"/>
      <c r="H130" s="5"/>
    </row>
    <row r="131" spans="1:8" x14ac:dyDescent="0.35">
      <c r="A131" s="4"/>
      <c r="B131" s="4"/>
      <c r="C131" s="5"/>
      <c r="D131" s="5"/>
      <c r="E131" s="5"/>
      <c r="F131" s="5"/>
      <c r="G131" s="5"/>
      <c r="H131" s="5"/>
    </row>
    <row r="132" spans="1:8" x14ac:dyDescent="0.35">
      <c r="A132" s="4"/>
      <c r="B132" s="4"/>
      <c r="C132" s="5"/>
      <c r="D132" s="5"/>
      <c r="E132" s="5"/>
      <c r="F132" s="5"/>
      <c r="G132" s="5"/>
      <c r="H132" s="5"/>
    </row>
    <row r="133" spans="1:8" x14ac:dyDescent="0.35">
      <c r="A133" s="4"/>
      <c r="B133" s="4"/>
      <c r="C133" s="5"/>
      <c r="D133" s="5"/>
      <c r="E133" s="5"/>
      <c r="F133" s="5"/>
      <c r="G133" s="5"/>
      <c r="H133" s="5"/>
    </row>
    <row r="134" spans="1:8" x14ac:dyDescent="0.35">
      <c r="A134" s="4"/>
      <c r="B134" s="4"/>
      <c r="C134" s="5"/>
      <c r="D134" s="5"/>
      <c r="E134" s="5"/>
      <c r="F134" s="5"/>
      <c r="G134" s="5"/>
      <c r="H134" s="5"/>
    </row>
    <row r="135" spans="1:8" x14ac:dyDescent="0.35">
      <c r="A135" s="4"/>
      <c r="B135" s="4"/>
      <c r="C135" s="5"/>
      <c r="D135" s="5"/>
      <c r="E135" s="5"/>
      <c r="F135" s="5"/>
      <c r="G135" s="5"/>
      <c r="H135" s="5"/>
    </row>
    <row r="136" spans="1:8" x14ac:dyDescent="0.35">
      <c r="A136" s="4"/>
      <c r="B136" s="4"/>
      <c r="C136" s="5"/>
      <c r="D136" s="5"/>
      <c r="E136" s="5"/>
      <c r="F136" s="5"/>
      <c r="G136" s="5"/>
      <c r="H136" s="5"/>
    </row>
    <row r="137" spans="1:8" x14ac:dyDescent="0.35">
      <c r="A137" s="4"/>
      <c r="B137" s="4"/>
      <c r="C137" s="5"/>
      <c r="D137" s="5"/>
      <c r="E137" s="5"/>
      <c r="F137" s="5"/>
      <c r="G137" s="5"/>
      <c r="H137" s="5"/>
    </row>
    <row r="138" spans="1:8" x14ac:dyDescent="0.35">
      <c r="A138" s="4"/>
      <c r="B138" s="4"/>
      <c r="C138" s="5"/>
      <c r="D138" s="5"/>
      <c r="E138" s="5"/>
      <c r="F138" s="5"/>
      <c r="G138" s="5"/>
      <c r="H138" s="5"/>
    </row>
    <row r="139" spans="1:8" x14ac:dyDescent="0.35">
      <c r="A139" s="4"/>
      <c r="B139" s="4"/>
      <c r="C139" s="5"/>
      <c r="D139" s="5"/>
      <c r="E139" s="5"/>
      <c r="F139" s="5"/>
      <c r="G139" s="5"/>
      <c r="H139" s="5"/>
    </row>
    <row r="140" spans="1:8" x14ac:dyDescent="0.35">
      <c r="A140" s="4"/>
      <c r="B140" s="4"/>
      <c r="C140" s="5"/>
      <c r="D140" s="5"/>
      <c r="E140" s="5"/>
      <c r="F140" s="5"/>
      <c r="G140" s="5"/>
      <c r="H140" s="5"/>
    </row>
    <row r="141" spans="1:8" x14ac:dyDescent="0.35">
      <c r="A141" s="4"/>
      <c r="B141" s="4"/>
      <c r="C141" s="5"/>
      <c r="D141" s="5"/>
      <c r="E141" s="5"/>
      <c r="F141" s="5"/>
      <c r="G141" s="5"/>
      <c r="H141" s="5"/>
    </row>
    <row r="142" spans="1:8" x14ac:dyDescent="0.35">
      <c r="A142" s="4"/>
      <c r="B142" s="4"/>
      <c r="C142" s="5"/>
      <c r="D142" s="5"/>
      <c r="E142" s="5"/>
      <c r="F142" s="5"/>
      <c r="G142" s="5"/>
      <c r="H142" s="5"/>
    </row>
    <row r="143" spans="1:8" x14ac:dyDescent="0.35">
      <c r="A143" s="2"/>
      <c r="B143" s="2"/>
      <c r="C143" s="3"/>
      <c r="D143" s="3"/>
      <c r="E143" s="3"/>
      <c r="F143" s="3"/>
      <c r="G143" s="3"/>
      <c r="H143" s="3"/>
    </row>
    <row r="144" spans="1:8" x14ac:dyDescent="0.35">
      <c r="A144" s="2"/>
      <c r="B144" s="2"/>
      <c r="C144" s="3"/>
      <c r="D144" s="3"/>
      <c r="E144" s="3"/>
      <c r="F144" s="3"/>
      <c r="G144" s="3"/>
      <c r="H144" s="3"/>
    </row>
    <row r="145" spans="1:8" x14ac:dyDescent="0.35">
      <c r="A145" s="2"/>
      <c r="B145" s="4"/>
      <c r="C145" s="5"/>
      <c r="D145" s="5"/>
      <c r="E145" s="5"/>
      <c r="F145" s="5"/>
      <c r="G145" s="5"/>
      <c r="H145" s="5"/>
    </row>
    <row r="146" spans="1:8" x14ac:dyDescent="0.35">
      <c r="A146" s="4"/>
      <c r="B146" s="4"/>
      <c r="C146" s="5"/>
      <c r="D146" s="5"/>
      <c r="E146" s="5"/>
      <c r="F146" s="5"/>
      <c r="G146" s="5"/>
      <c r="H146" s="5"/>
    </row>
    <row r="147" spans="1:8" x14ac:dyDescent="0.35">
      <c r="A147" s="4"/>
      <c r="B147" s="4"/>
      <c r="C147" s="5"/>
      <c r="D147" s="5"/>
      <c r="E147" s="5"/>
      <c r="F147" s="5"/>
      <c r="G147" s="5"/>
      <c r="H147" s="5"/>
    </row>
    <row r="148" spans="1:8" x14ac:dyDescent="0.35">
      <c r="A148" s="4"/>
      <c r="B148" s="4"/>
      <c r="C148" s="5"/>
      <c r="D148" s="5"/>
      <c r="E148" s="5"/>
      <c r="F148" s="5"/>
      <c r="G148" s="5"/>
      <c r="H148" s="5"/>
    </row>
    <row r="149" spans="1:8" x14ac:dyDescent="0.35">
      <c r="A149" s="4"/>
      <c r="B149" s="4"/>
      <c r="C149" s="5"/>
      <c r="D149" s="5"/>
      <c r="E149" s="5"/>
      <c r="F149" s="5"/>
      <c r="G149" s="5"/>
      <c r="H149" s="5"/>
    </row>
    <row r="150" spans="1:8" x14ac:dyDescent="0.35">
      <c r="A150" s="4"/>
      <c r="B150" s="4"/>
      <c r="C150" s="5"/>
      <c r="D150" s="5"/>
      <c r="E150" s="5"/>
      <c r="F150" s="5"/>
      <c r="G150" s="5"/>
      <c r="H150" s="5"/>
    </row>
    <row r="151" spans="1:8" x14ac:dyDescent="0.35">
      <c r="A151" s="4"/>
      <c r="B151" s="4"/>
      <c r="C151" s="5"/>
      <c r="D151" s="5"/>
      <c r="E151" s="5"/>
      <c r="F151" s="5"/>
      <c r="G151" s="5"/>
      <c r="H151" s="5"/>
    </row>
    <row r="152" spans="1:8" x14ac:dyDescent="0.35">
      <c r="A152" s="4"/>
      <c r="B152" s="4"/>
      <c r="C152" s="5"/>
      <c r="D152" s="5"/>
      <c r="E152" s="5"/>
      <c r="F152" s="5"/>
      <c r="G152" s="5"/>
      <c r="H152" s="5"/>
    </row>
    <row r="153" spans="1:8" x14ac:dyDescent="0.35">
      <c r="A153" s="4"/>
      <c r="B153" s="4"/>
      <c r="C153" s="5"/>
      <c r="D153" s="5"/>
      <c r="E153" s="5"/>
      <c r="F153" s="5"/>
      <c r="G153" s="5"/>
      <c r="H153" s="5"/>
    </row>
    <row r="154" spans="1:8" x14ac:dyDescent="0.35">
      <c r="A154" s="4"/>
      <c r="B154" s="4"/>
      <c r="C154" s="5"/>
      <c r="D154" s="5"/>
      <c r="E154" s="5"/>
      <c r="F154" s="5"/>
      <c r="G154" s="5"/>
      <c r="H154" s="5"/>
    </row>
    <row r="155" spans="1:8" x14ac:dyDescent="0.35">
      <c r="A155" s="4"/>
      <c r="B155" s="4"/>
      <c r="C155" s="5"/>
      <c r="D155" s="5"/>
      <c r="E155" s="5"/>
      <c r="F155" s="5"/>
      <c r="G155" s="5"/>
      <c r="H155" s="5"/>
    </row>
    <row r="156" spans="1:8" x14ac:dyDescent="0.35">
      <c r="A156" s="4"/>
      <c r="B156" s="4"/>
      <c r="C156" s="5"/>
      <c r="D156" s="5"/>
      <c r="E156" s="5"/>
      <c r="F156" s="5"/>
      <c r="G156" s="5"/>
      <c r="H156" s="5"/>
    </row>
    <row r="157" spans="1:8" x14ac:dyDescent="0.35">
      <c r="A157" s="4"/>
      <c r="B157" s="4"/>
      <c r="C157" s="5"/>
      <c r="D157" s="5"/>
      <c r="E157" s="5"/>
      <c r="F157" s="5"/>
      <c r="G157" s="5"/>
      <c r="H157" s="5"/>
    </row>
    <row r="158" spans="1:8" x14ac:dyDescent="0.35">
      <c r="A158" s="4"/>
      <c r="B158" s="4"/>
      <c r="C158" s="5"/>
      <c r="D158" s="5"/>
      <c r="E158" s="5"/>
      <c r="F158" s="5"/>
      <c r="G158" s="5"/>
      <c r="H158" s="5"/>
    </row>
    <row r="159" spans="1:8" x14ac:dyDescent="0.35">
      <c r="A159" s="4"/>
      <c r="B159" s="4"/>
      <c r="C159" s="5"/>
      <c r="D159" s="5"/>
      <c r="E159" s="5"/>
      <c r="F159" s="5"/>
      <c r="G159" s="5"/>
      <c r="H159" s="5"/>
    </row>
    <row r="160" spans="1:8" x14ac:dyDescent="0.35">
      <c r="A160" s="4"/>
      <c r="B160" s="4"/>
      <c r="C160" s="5"/>
      <c r="D160" s="5"/>
      <c r="E160" s="5"/>
      <c r="F160" s="5"/>
      <c r="G160" s="5"/>
      <c r="H160" s="5"/>
    </row>
    <row r="161" spans="1:8" x14ac:dyDescent="0.35">
      <c r="A161" s="4"/>
      <c r="B161" s="4"/>
      <c r="C161" s="5"/>
      <c r="D161" s="5"/>
      <c r="E161" s="5"/>
      <c r="F161" s="5"/>
      <c r="G161" s="5"/>
      <c r="H161" s="5"/>
    </row>
    <row r="162" spans="1:8" x14ac:dyDescent="0.35">
      <c r="A162" s="4"/>
      <c r="B162" s="4"/>
      <c r="C162" s="5"/>
      <c r="D162" s="5"/>
      <c r="E162" s="5"/>
      <c r="F162" s="5"/>
      <c r="G162" s="5"/>
      <c r="H162" s="5"/>
    </row>
    <row r="163" spans="1:8" x14ac:dyDescent="0.35">
      <c r="A163" s="4"/>
      <c r="B163" s="4"/>
      <c r="C163" s="5"/>
      <c r="D163" s="5"/>
      <c r="E163" s="5"/>
      <c r="F163" s="5"/>
      <c r="G163" s="5"/>
      <c r="H163" s="5"/>
    </row>
    <row r="164" spans="1:8" x14ac:dyDescent="0.35">
      <c r="A164" s="4"/>
      <c r="B164" s="4"/>
      <c r="C164" s="5"/>
      <c r="D164" s="5"/>
      <c r="E164" s="5"/>
      <c r="F164" s="5"/>
      <c r="G164" s="5"/>
      <c r="H164" s="5"/>
    </row>
    <row r="165" spans="1:8" x14ac:dyDescent="0.35">
      <c r="A165" s="4"/>
      <c r="B165" s="4"/>
      <c r="C165" s="5"/>
      <c r="D165" s="5"/>
      <c r="E165" s="5"/>
      <c r="F165" s="5"/>
      <c r="G165" s="5"/>
      <c r="H165" s="5"/>
    </row>
    <row r="166" spans="1:8" x14ac:dyDescent="0.35">
      <c r="A166" s="4"/>
      <c r="B166" s="4"/>
      <c r="C166" s="5"/>
      <c r="D166" s="5"/>
      <c r="E166" s="5"/>
      <c r="F166" s="5"/>
      <c r="G166" s="5"/>
      <c r="H166" s="5"/>
    </row>
    <row r="167" spans="1:8" x14ac:dyDescent="0.35">
      <c r="A167" s="4"/>
      <c r="B167" s="4"/>
      <c r="C167" s="5"/>
      <c r="D167" s="5"/>
      <c r="E167" s="5"/>
      <c r="F167" s="5"/>
      <c r="G167" s="5"/>
      <c r="H167" s="5"/>
    </row>
    <row r="168" spans="1:8" x14ac:dyDescent="0.35">
      <c r="A168" s="4"/>
      <c r="B168" s="4"/>
      <c r="C168" s="5"/>
      <c r="D168" s="5"/>
      <c r="E168" s="5"/>
      <c r="F168" s="5"/>
      <c r="G168" s="5"/>
      <c r="H168" s="5"/>
    </row>
    <row r="169" spans="1:8" x14ac:dyDescent="0.35">
      <c r="A169" s="4"/>
      <c r="B169" s="4"/>
      <c r="C169" s="5"/>
      <c r="D169" s="5"/>
      <c r="E169" s="5"/>
      <c r="F169" s="5"/>
      <c r="G169" s="5"/>
      <c r="H169" s="5"/>
    </row>
    <row r="170" spans="1:8" x14ac:dyDescent="0.35">
      <c r="A170" s="4"/>
      <c r="B170" s="4"/>
      <c r="C170" s="5"/>
      <c r="D170" s="5"/>
      <c r="E170" s="5"/>
      <c r="F170" s="5"/>
      <c r="G170" s="5"/>
      <c r="H170" s="5"/>
    </row>
    <row r="171" spans="1:8" x14ac:dyDescent="0.35">
      <c r="A171" s="4"/>
      <c r="B171" s="4"/>
      <c r="C171" s="5"/>
      <c r="D171" s="5"/>
      <c r="E171" s="5"/>
      <c r="F171" s="5"/>
      <c r="G171" s="5"/>
      <c r="H171" s="5"/>
    </row>
    <row r="172" spans="1:8" x14ac:dyDescent="0.35">
      <c r="A172" s="4"/>
      <c r="B172" s="4"/>
      <c r="C172" s="5"/>
      <c r="D172" s="5"/>
      <c r="E172" s="5"/>
      <c r="F172" s="5"/>
      <c r="G172" s="5"/>
      <c r="H172" s="5"/>
    </row>
    <row r="173" spans="1:8" x14ac:dyDescent="0.35">
      <c r="A173" s="4"/>
      <c r="B173" s="4"/>
      <c r="C173" s="5"/>
      <c r="D173" s="5"/>
      <c r="E173" s="5"/>
      <c r="F173" s="5"/>
      <c r="G173" s="5"/>
      <c r="H173" s="5"/>
    </row>
    <row r="174" spans="1:8" x14ac:dyDescent="0.35">
      <c r="A174" s="4"/>
      <c r="B174" s="4"/>
      <c r="C174" s="5"/>
      <c r="D174" s="5"/>
      <c r="E174" s="5"/>
      <c r="F174" s="5"/>
      <c r="G174" s="5"/>
      <c r="H174" s="5"/>
    </row>
    <row r="175" spans="1:8" x14ac:dyDescent="0.35">
      <c r="A175" s="4"/>
      <c r="B175" s="4"/>
      <c r="C175" s="5"/>
      <c r="D175" s="5"/>
      <c r="E175" s="5"/>
      <c r="F175" s="5"/>
      <c r="G175" s="5"/>
      <c r="H175" s="5"/>
    </row>
    <row r="176" spans="1:8" x14ac:dyDescent="0.35">
      <c r="A176" s="4"/>
      <c r="B176" s="4"/>
      <c r="C176" s="5"/>
      <c r="D176" s="5"/>
      <c r="E176" s="5"/>
      <c r="F176" s="5"/>
      <c r="G176" s="5"/>
      <c r="H176" s="5"/>
    </row>
    <row r="177" spans="1:8" x14ac:dyDescent="0.35">
      <c r="A177" s="4"/>
      <c r="B177" s="4"/>
      <c r="C177" s="5"/>
      <c r="D177" s="5"/>
      <c r="E177" s="5"/>
      <c r="F177" s="5"/>
      <c r="G177" s="5"/>
      <c r="H177" s="5"/>
    </row>
    <row r="178" spans="1:8" x14ac:dyDescent="0.35">
      <c r="A178" s="4"/>
      <c r="B178" s="4"/>
      <c r="C178" s="5"/>
      <c r="D178" s="5"/>
      <c r="E178" s="5"/>
      <c r="F178" s="5"/>
      <c r="G178" s="5"/>
      <c r="H178" s="5"/>
    </row>
    <row r="179" spans="1:8" x14ac:dyDescent="0.35">
      <c r="A179" s="4"/>
      <c r="B179" s="4"/>
      <c r="C179" s="5"/>
      <c r="D179" s="5"/>
      <c r="E179" s="5"/>
      <c r="F179" s="5"/>
      <c r="G179" s="5"/>
      <c r="H179" s="5"/>
    </row>
    <row r="180" spans="1:8" x14ac:dyDescent="0.35">
      <c r="A180" s="4"/>
      <c r="B180" s="4"/>
      <c r="C180" s="5"/>
      <c r="D180" s="5"/>
      <c r="E180" s="5"/>
      <c r="F180" s="5"/>
      <c r="G180" s="5"/>
      <c r="H180" s="5"/>
    </row>
    <row r="181" spans="1:8" x14ac:dyDescent="0.35">
      <c r="A181" s="4"/>
      <c r="B181" s="4"/>
      <c r="C181" s="5"/>
      <c r="D181" s="5"/>
      <c r="E181" s="5"/>
      <c r="F181" s="5"/>
      <c r="G181" s="5"/>
      <c r="H181" s="5"/>
    </row>
    <row r="182" spans="1:8" x14ac:dyDescent="0.35">
      <c r="A182" s="4"/>
      <c r="B182" s="4"/>
      <c r="C182" s="5"/>
      <c r="D182" s="5"/>
      <c r="E182" s="5"/>
      <c r="F182" s="5"/>
      <c r="G182" s="5"/>
      <c r="H182" s="5"/>
    </row>
    <row r="183" spans="1:8" x14ac:dyDescent="0.35">
      <c r="A183" s="4"/>
      <c r="B183" s="4"/>
      <c r="C183" s="5"/>
      <c r="D183" s="5"/>
      <c r="E183" s="5"/>
      <c r="F183" s="5"/>
      <c r="G183" s="5"/>
      <c r="H183" s="5"/>
    </row>
    <row r="184" spans="1:8" x14ac:dyDescent="0.35">
      <c r="A184" s="4"/>
      <c r="B184" s="4"/>
      <c r="C184" s="5"/>
      <c r="D184" s="5"/>
      <c r="E184" s="5"/>
      <c r="F184" s="5"/>
      <c r="G184" s="5"/>
      <c r="H184" s="5"/>
    </row>
    <row r="185" spans="1:8" x14ac:dyDescent="0.35">
      <c r="A185" s="4"/>
      <c r="B185" s="4"/>
      <c r="C185" s="5"/>
      <c r="D185" s="5"/>
      <c r="E185" s="5"/>
      <c r="F185" s="5"/>
      <c r="G185" s="5"/>
      <c r="H185" s="5"/>
    </row>
    <row r="186" spans="1:8" x14ac:dyDescent="0.35">
      <c r="A186" s="4"/>
      <c r="B186" s="4"/>
      <c r="C186" s="5"/>
      <c r="D186" s="5"/>
      <c r="E186" s="5"/>
      <c r="F186" s="5"/>
      <c r="G186" s="5"/>
      <c r="H186" s="5"/>
    </row>
    <row r="187" spans="1:8" x14ac:dyDescent="0.35">
      <c r="A187" s="4"/>
      <c r="B187" s="4"/>
      <c r="C187" s="5"/>
      <c r="D187" s="5"/>
      <c r="E187" s="5"/>
      <c r="F187" s="5"/>
      <c r="G187" s="5"/>
      <c r="H187" s="5"/>
    </row>
    <row r="188" spans="1:8" x14ac:dyDescent="0.35">
      <c r="A188" s="4"/>
      <c r="B188" s="4"/>
      <c r="C188" s="5"/>
      <c r="D188" s="5"/>
      <c r="E188" s="5"/>
      <c r="F188" s="5"/>
      <c r="G188" s="5"/>
      <c r="H188" s="5"/>
    </row>
    <row r="189" spans="1:8" x14ac:dyDescent="0.35">
      <c r="A189" s="4"/>
      <c r="B189" s="4"/>
      <c r="C189" s="5"/>
      <c r="D189" s="5"/>
      <c r="E189" s="5"/>
      <c r="F189" s="5"/>
      <c r="G189" s="5"/>
      <c r="H189" s="5"/>
    </row>
    <row r="190" spans="1:8" x14ac:dyDescent="0.35">
      <c r="A190" s="4"/>
      <c r="B190" s="4"/>
      <c r="C190" s="5"/>
      <c r="D190" s="5"/>
      <c r="E190" s="5"/>
      <c r="F190" s="5"/>
      <c r="G190" s="5"/>
      <c r="H190" s="5"/>
    </row>
    <row r="191" spans="1:8" x14ac:dyDescent="0.35">
      <c r="A191" s="4"/>
      <c r="B191" s="4"/>
      <c r="C191" s="5"/>
      <c r="D191" s="5"/>
      <c r="E191" s="5"/>
      <c r="F191" s="5"/>
      <c r="G191" s="5"/>
      <c r="H191" s="5"/>
    </row>
    <row r="192" spans="1:8" x14ac:dyDescent="0.35">
      <c r="A192" s="4"/>
      <c r="B192" s="4"/>
      <c r="C192" s="5"/>
      <c r="D192" s="5"/>
      <c r="E192" s="5"/>
      <c r="F192" s="5"/>
      <c r="G192" s="5"/>
      <c r="H192" s="5"/>
    </row>
    <row r="193" spans="1:8" x14ac:dyDescent="0.35">
      <c r="A193" s="4"/>
      <c r="B193" s="4"/>
      <c r="C193" s="5"/>
      <c r="D193" s="5"/>
      <c r="E193" s="5"/>
      <c r="F193" s="5"/>
      <c r="G193" s="5"/>
      <c r="H193" s="5"/>
    </row>
    <row r="194" spans="1:8" x14ac:dyDescent="0.35">
      <c r="A194" s="4"/>
      <c r="B194" s="4"/>
      <c r="C194" s="5"/>
      <c r="D194" s="5"/>
      <c r="E194" s="5"/>
      <c r="F194" s="5"/>
      <c r="G194" s="5"/>
      <c r="H194" s="5"/>
    </row>
    <row r="195" spans="1:8" x14ac:dyDescent="0.35">
      <c r="A195" s="4"/>
      <c r="B195" s="4"/>
      <c r="C195" s="5"/>
      <c r="D195" s="5"/>
      <c r="E195" s="5"/>
      <c r="F195" s="5"/>
      <c r="G195" s="5"/>
      <c r="H195" s="5"/>
    </row>
    <row r="196" spans="1:8" x14ac:dyDescent="0.35">
      <c r="A196" s="4"/>
      <c r="B196" s="4"/>
      <c r="C196" s="5"/>
      <c r="D196" s="5"/>
      <c r="E196" s="5"/>
      <c r="F196" s="5"/>
      <c r="G196" s="5"/>
      <c r="H196" s="5"/>
    </row>
    <row r="197" spans="1:8" x14ac:dyDescent="0.35">
      <c r="A197" s="4"/>
      <c r="B197" s="4"/>
      <c r="C197" s="5"/>
      <c r="D197" s="5"/>
      <c r="E197" s="5"/>
      <c r="F197" s="5"/>
      <c r="G197" s="5"/>
      <c r="H197" s="5"/>
    </row>
    <row r="198" spans="1:8" x14ac:dyDescent="0.35">
      <c r="A198" s="4"/>
      <c r="B198" s="4"/>
      <c r="C198" s="5"/>
      <c r="D198" s="5"/>
      <c r="E198" s="5"/>
      <c r="F198" s="5"/>
      <c r="G198" s="5"/>
      <c r="H198" s="5"/>
    </row>
    <row r="199" spans="1:8" x14ac:dyDescent="0.35">
      <c r="A199" s="4"/>
      <c r="B199" s="4"/>
      <c r="C199" s="5"/>
      <c r="D199" s="5"/>
      <c r="E199" s="5"/>
      <c r="F199" s="5"/>
      <c r="G199" s="5"/>
      <c r="H199" s="5"/>
    </row>
    <row r="200" spans="1:8" x14ac:dyDescent="0.35">
      <c r="A200" s="4"/>
      <c r="B200" s="4"/>
      <c r="C200" s="5"/>
      <c r="D200" s="5"/>
      <c r="E200" s="5"/>
      <c r="F200" s="5"/>
      <c r="G200" s="5"/>
      <c r="H200" s="5"/>
    </row>
    <row r="201" spans="1:8" x14ac:dyDescent="0.35">
      <c r="A201" s="4"/>
      <c r="B201" s="4"/>
      <c r="C201" s="5"/>
      <c r="D201" s="5"/>
      <c r="E201" s="5"/>
      <c r="F201" s="5"/>
      <c r="G201" s="5"/>
      <c r="H201" s="5"/>
    </row>
    <row r="202" spans="1:8" x14ac:dyDescent="0.35">
      <c r="A202" s="4"/>
      <c r="B202" s="4"/>
      <c r="C202" s="5"/>
      <c r="D202" s="5"/>
      <c r="E202" s="5"/>
      <c r="F202" s="5"/>
      <c r="G202" s="5"/>
      <c r="H202" s="5"/>
    </row>
    <row r="203" spans="1:8" x14ac:dyDescent="0.35">
      <c r="A203" s="4"/>
      <c r="B203" s="4"/>
      <c r="C203" s="5"/>
      <c r="D203" s="5"/>
      <c r="E203" s="5"/>
      <c r="F203" s="5"/>
      <c r="G203" s="5"/>
      <c r="H203" s="5"/>
    </row>
    <row r="204" spans="1:8" x14ac:dyDescent="0.35">
      <c r="A204" s="4"/>
      <c r="B204" s="4"/>
      <c r="C204" s="5"/>
      <c r="D204" s="5"/>
      <c r="E204" s="5"/>
      <c r="F204" s="5"/>
      <c r="G204" s="5"/>
      <c r="H204" s="5"/>
    </row>
    <row r="205" spans="1:8" x14ac:dyDescent="0.35">
      <c r="A205" s="4"/>
      <c r="B205" s="4"/>
      <c r="C205" s="5"/>
      <c r="D205" s="5"/>
      <c r="E205" s="5"/>
      <c r="F205" s="5"/>
      <c r="G205" s="5"/>
      <c r="H205" s="5"/>
    </row>
    <row r="206" spans="1:8" x14ac:dyDescent="0.35">
      <c r="A206" s="4"/>
      <c r="B206" s="4"/>
      <c r="C206" s="5"/>
      <c r="D206" s="5"/>
      <c r="E206" s="5"/>
      <c r="F206" s="5"/>
      <c r="G206" s="5"/>
      <c r="H206" s="5"/>
    </row>
    <row r="207" spans="1:8" x14ac:dyDescent="0.35">
      <c r="A207" s="4"/>
      <c r="B207" s="4"/>
      <c r="C207" s="5"/>
      <c r="D207" s="5"/>
      <c r="E207" s="5"/>
      <c r="F207" s="5"/>
      <c r="G207" s="5"/>
      <c r="H207" s="5"/>
    </row>
    <row r="208" spans="1:8" x14ac:dyDescent="0.35">
      <c r="A208" s="4"/>
      <c r="B208" s="4"/>
      <c r="C208" s="5"/>
      <c r="D208" s="5"/>
      <c r="E208" s="5"/>
      <c r="F208" s="5"/>
      <c r="G208" s="5"/>
      <c r="H208" s="5"/>
    </row>
    <row r="209" spans="1:8" x14ac:dyDescent="0.35">
      <c r="A209" s="4"/>
      <c r="B209" s="4"/>
      <c r="C209" s="5"/>
      <c r="D209" s="5"/>
      <c r="E209" s="5"/>
      <c r="F209" s="5"/>
      <c r="G209" s="5"/>
      <c r="H209" s="5"/>
    </row>
    <row r="210" spans="1:8" x14ac:dyDescent="0.35">
      <c r="A210" s="4"/>
      <c r="B210" s="4"/>
      <c r="C210" s="5"/>
      <c r="D210" s="5"/>
      <c r="E210" s="5"/>
      <c r="F210" s="5"/>
      <c r="G210" s="5"/>
      <c r="H210" s="5"/>
    </row>
    <row r="211" spans="1:8" x14ac:dyDescent="0.35">
      <c r="A211" s="4"/>
      <c r="B211" s="4"/>
      <c r="C211" s="5"/>
      <c r="D211" s="5"/>
      <c r="E211" s="5"/>
      <c r="F211" s="5"/>
      <c r="G211" s="5"/>
      <c r="H211" s="5"/>
    </row>
    <row r="212" spans="1:8" x14ac:dyDescent="0.35">
      <c r="A212" s="4"/>
      <c r="B212" s="4"/>
      <c r="C212" s="5"/>
      <c r="D212" s="5"/>
      <c r="E212" s="5"/>
      <c r="F212" s="5"/>
      <c r="G212" s="5"/>
      <c r="H212" s="5"/>
    </row>
    <row r="213" spans="1:8" x14ac:dyDescent="0.35">
      <c r="A213" s="4"/>
      <c r="B213" s="4"/>
      <c r="C213" s="5"/>
      <c r="D213" s="5"/>
      <c r="E213" s="5"/>
      <c r="F213" s="5"/>
      <c r="G213" s="5"/>
      <c r="H213" s="5"/>
    </row>
    <row r="214" spans="1:8" x14ac:dyDescent="0.35">
      <c r="A214" s="4"/>
      <c r="B214" s="4"/>
      <c r="C214" s="5"/>
      <c r="D214" s="5"/>
      <c r="E214" s="5"/>
      <c r="F214" s="5"/>
      <c r="G214" s="5"/>
      <c r="H214" s="5"/>
    </row>
    <row r="215" spans="1:8" x14ac:dyDescent="0.35">
      <c r="A215" s="4"/>
      <c r="B215" s="4"/>
      <c r="C215" s="5"/>
      <c r="D215" s="5"/>
      <c r="E215" s="5"/>
      <c r="F215" s="5"/>
      <c r="G215" s="5"/>
      <c r="H215" s="5"/>
    </row>
    <row r="216" spans="1:8" x14ac:dyDescent="0.35">
      <c r="A216" s="4"/>
      <c r="B216" s="4"/>
      <c r="C216" s="5"/>
      <c r="D216" s="5"/>
      <c r="E216" s="5"/>
      <c r="F216" s="5"/>
      <c r="G216" s="5"/>
      <c r="H216" s="5"/>
    </row>
    <row r="217" spans="1:8" x14ac:dyDescent="0.35">
      <c r="A217" s="2"/>
      <c r="B217" s="2"/>
      <c r="C217" s="3"/>
      <c r="D217" s="3"/>
      <c r="E217" s="3"/>
      <c r="F217" s="3"/>
      <c r="G217" s="3"/>
      <c r="H217" s="3"/>
    </row>
    <row r="218" spans="1:8" x14ac:dyDescent="0.35">
      <c r="A218" s="2"/>
      <c r="B218" s="2"/>
      <c r="C218" s="3"/>
      <c r="D218" s="3"/>
      <c r="E218" s="3"/>
      <c r="F218" s="3"/>
      <c r="G218" s="3"/>
      <c r="H218" s="3"/>
    </row>
    <row r="219" spans="1:8" x14ac:dyDescent="0.35">
      <c r="A219" s="2"/>
      <c r="B219" s="4"/>
      <c r="C219" s="5"/>
      <c r="D219" s="5"/>
      <c r="E219" s="5"/>
      <c r="F219" s="5"/>
      <c r="G219" s="5"/>
      <c r="H219" s="5"/>
    </row>
    <row r="220" spans="1:8" x14ac:dyDescent="0.35">
      <c r="A220" s="4"/>
      <c r="B220" s="4"/>
      <c r="C220" s="5"/>
      <c r="D220" s="5"/>
      <c r="E220" s="5"/>
      <c r="F220" s="5"/>
      <c r="G220" s="5"/>
      <c r="H220" s="5"/>
    </row>
    <row r="221" spans="1:8" x14ac:dyDescent="0.35">
      <c r="A221" s="2"/>
      <c r="B221" s="2"/>
      <c r="C221" s="3"/>
      <c r="D221" s="3"/>
      <c r="E221" s="3"/>
      <c r="F221" s="3"/>
      <c r="G221" s="3"/>
      <c r="H221" s="3"/>
    </row>
    <row r="222" spans="1:8" x14ac:dyDescent="0.35">
      <c r="A222" s="2"/>
      <c r="B222" s="2"/>
      <c r="C222" s="3"/>
      <c r="D222" s="3"/>
      <c r="E222" s="3"/>
      <c r="F222" s="3"/>
      <c r="G222" s="3"/>
      <c r="H222" s="3"/>
    </row>
    <row r="223" spans="1:8" x14ac:dyDescent="0.35">
      <c r="A223" s="2"/>
      <c r="B223" s="2"/>
      <c r="C223" s="3"/>
      <c r="D223" s="3"/>
      <c r="E223" s="3"/>
      <c r="F223" s="3"/>
      <c r="G223" s="3"/>
      <c r="H223" s="3"/>
    </row>
    <row r="224" spans="1:8" ht="15" thickBot="1" x14ac:dyDescent="0.4">
      <c r="A224" s="16"/>
      <c r="B224" s="16"/>
      <c r="C224" s="17"/>
      <c r="D224" s="17"/>
      <c r="E224" s="17"/>
      <c r="F224" s="17"/>
      <c r="G224" s="17"/>
      <c r="H224" s="17"/>
    </row>
    <row r="225" spans="1:8" ht="15.5" thickTop="1" thickBot="1" x14ac:dyDescent="0.4">
      <c r="A225" s="6"/>
      <c r="B225" s="7"/>
      <c r="C225" s="8"/>
      <c r="D225" s="8"/>
      <c r="E225" s="8"/>
      <c r="F225" s="8"/>
      <c r="G225" s="8"/>
      <c r="H225" s="13"/>
    </row>
    <row r="226" spans="1:8" ht="15" thickTop="1" x14ac:dyDescent="0.35"/>
  </sheetData>
  <mergeCells count="2">
    <mergeCell ref="A2:H2"/>
    <mergeCell ref="A85:H8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T200"/>
  <sheetViews>
    <sheetView view="pageBreakPreview" zoomScale="70" zoomScaleNormal="80" zoomScaleSheetLayoutView="70" workbookViewId="0">
      <pane xSplit="2" ySplit="3" topLeftCell="E170" activePane="bottomRight" state="frozen"/>
      <selection activeCell="E140" sqref="E140"/>
      <selection pane="topRight" activeCell="E140" sqref="E140"/>
      <selection pane="bottomLeft" activeCell="E140" sqref="E140"/>
      <selection pane="bottomRight" activeCell="E140" sqref="E140"/>
    </sheetView>
  </sheetViews>
  <sheetFormatPr defaultColWidth="9.1796875" defaultRowHeight="13" x14ac:dyDescent="0.3"/>
  <cols>
    <col min="1" max="1" width="38.26953125" style="63" customWidth="1"/>
    <col min="2" max="2" width="60.1796875" style="63" customWidth="1"/>
    <col min="3" max="3" width="17.7265625" style="64" hidden="1" customWidth="1"/>
    <col min="4" max="4" width="12.81640625" style="64" hidden="1" customWidth="1"/>
    <col min="5" max="5" width="13.453125" style="64" bestFit="1" customWidth="1"/>
    <col min="6" max="6" width="14.7265625" style="64" hidden="1" customWidth="1"/>
    <col min="7" max="7" width="13.7265625" style="64" customWidth="1"/>
    <col min="8" max="8" width="12.54296875" style="64" hidden="1" customWidth="1"/>
    <col min="9" max="9" width="15.1796875" style="64" customWidth="1"/>
    <col min="10" max="10" width="16.453125" style="64" bestFit="1" customWidth="1"/>
    <col min="11" max="12" width="14.26953125" style="63" bestFit="1" customWidth="1"/>
    <col min="13" max="13" width="17" style="179" customWidth="1"/>
    <col min="14" max="14" width="17" style="190" customWidth="1"/>
    <col min="15" max="15" width="14.453125" style="194" bestFit="1" customWidth="1"/>
    <col min="16" max="16" width="9.453125" style="194" bestFit="1" customWidth="1"/>
    <col min="17" max="17" width="16.81640625" style="64" bestFit="1" customWidth="1"/>
    <col min="18" max="19" width="11.7265625" style="63" bestFit="1" customWidth="1"/>
    <col min="20" max="20" width="10.453125" style="63" bestFit="1" customWidth="1"/>
    <col min="21" max="16384" width="9.1796875" style="63"/>
  </cols>
  <sheetData>
    <row r="1" spans="1:15" ht="13.5" thickBot="1" x14ac:dyDescent="0.35">
      <c r="B1" s="231">
        <f>'2021 2022 DRAFT BUDGET SUMMARY'!J24</f>
        <v>-79111.445678055286</v>
      </c>
      <c r="C1" s="64">
        <f>'2021 2022 DRAFT BUDGET SUMMARY'!J24</f>
        <v>-79111.445678055286</v>
      </c>
    </row>
    <row r="2" spans="1:15" ht="13.5" thickBot="1" x14ac:dyDescent="0.35">
      <c r="A2" s="235" t="s">
        <v>1351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7"/>
    </row>
    <row r="3" spans="1:15" ht="28.5" customHeight="1" thickBot="1" x14ac:dyDescent="0.35">
      <c r="A3" s="75" t="s">
        <v>0</v>
      </c>
      <c r="B3" s="75" t="s">
        <v>1</v>
      </c>
      <c r="C3" s="162" t="s">
        <v>669</v>
      </c>
      <c r="D3" s="162" t="s">
        <v>1219</v>
      </c>
      <c r="E3" s="162" t="s">
        <v>1220</v>
      </c>
      <c r="F3" s="162" t="s">
        <v>1284</v>
      </c>
      <c r="G3" s="161" t="s">
        <v>1322</v>
      </c>
      <c r="H3" s="161" t="s">
        <v>1284</v>
      </c>
      <c r="I3" s="161" t="s">
        <v>1323</v>
      </c>
      <c r="J3" s="161" t="s">
        <v>1356</v>
      </c>
      <c r="K3" s="161" t="s">
        <v>670</v>
      </c>
      <c r="L3" s="175" t="s">
        <v>671</v>
      </c>
      <c r="M3" s="191"/>
      <c r="N3" s="192"/>
      <c r="O3" s="192"/>
    </row>
    <row r="4" spans="1:15" x14ac:dyDescent="0.3">
      <c r="A4" s="169"/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214"/>
    </row>
    <row r="5" spans="1:15" x14ac:dyDescent="0.3">
      <c r="A5" s="147" t="s">
        <v>715</v>
      </c>
      <c r="B5" s="156"/>
      <c r="C5" s="156"/>
      <c r="D5" s="156"/>
      <c r="E5" s="156"/>
      <c r="F5" s="156"/>
      <c r="G5" s="156"/>
      <c r="H5" s="156"/>
      <c r="I5" s="156"/>
      <c r="J5" s="156"/>
      <c r="K5" s="156"/>
      <c r="L5" s="215"/>
    </row>
    <row r="6" spans="1:15" x14ac:dyDescent="0.3">
      <c r="A6" s="51" t="s">
        <v>458</v>
      </c>
      <c r="B6" s="52"/>
      <c r="C6" s="53"/>
      <c r="D6" s="53"/>
      <c r="E6" s="53"/>
      <c r="F6" s="53"/>
      <c r="G6" s="53"/>
      <c r="H6" s="53"/>
      <c r="I6" s="53"/>
      <c r="J6" s="53"/>
      <c r="K6" s="52"/>
      <c r="L6" s="216"/>
    </row>
    <row r="7" spans="1:15" x14ac:dyDescent="0.3">
      <c r="A7" s="73"/>
      <c r="B7" s="74" t="s">
        <v>470</v>
      </c>
      <c r="C7" s="79"/>
      <c r="D7" s="79"/>
      <c r="E7" s="79"/>
      <c r="F7" s="79"/>
      <c r="G7" s="79"/>
      <c r="H7" s="79"/>
      <c r="I7" s="79"/>
      <c r="J7" s="79"/>
      <c r="K7" s="53">
        <v>0</v>
      </c>
      <c r="L7" s="108"/>
    </row>
    <row r="8" spans="1:15" x14ac:dyDescent="0.3">
      <c r="A8" s="52" t="s">
        <v>1250</v>
      </c>
      <c r="B8" s="52" t="s">
        <v>1279</v>
      </c>
      <c r="C8" s="53">
        <v>65000</v>
      </c>
      <c r="D8" s="53"/>
      <c r="E8" s="53">
        <f>C8+D8</f>
        <v>65000</v>
      </c>
      <c r="F8" s="53"/>
      <c r="G8" s="53">
        <f t="shared" ref="G8:G47" si="0">E8+F8</f>
        <v>65000</v>
      </c>
      <c r="H8" s="53"/>
      <c r="I8" s="69">
        <f t="shared" ref="I8:I47" si="1">G8+H8</f>
        <v>65000</v>
      </c>
      <c r="J8" s="69">
        <v>65000</v>
      </c>
      <c r="K8" s="53">
        <f t="shared" ref="K8:K47" si="2">J8*104.2%</f>
        <v>67730</v>
      </c>
      <c r="L8" s="176">
        <f t="shared" ref="L8:L47" si="3">K8*104.4%</f>
        <v>70710.12000000001</v>
      </c>
      <c r="O8" s="190"/>
    </row>
    <row r="9" spans="1:15" x14ac:dyDescent="0.3">
      <c r="A9" s="52" t="s">
        <v>1251</v>
      </c>
      <c r="B9" s="52" t="s">
        <v>1280</v>
      </c>
      <c r="C9" s="53">
        <v>45000</v>
      </c>
      <c r="D9" s="53"/>
      <c r="E9" s="53">
        <f t="shared" ref="E9:E72" si="4">C9+D9</f>
        <v>45000</v>
      </c>
      <c r="F9" s="53"/>
      <c r="G9" s="53">
        <f t="shared" si="0"/>
        <v>45000</v>
      </c>
      <c r="H9" s="53">
        <v>-30000</v>
      </c>
      <c r="I9" s="69">
        <f t="shared" si="1"/>
        <v>15000</v>
      </c>
      <c r="J9" s="69">
        <v>45000</v>
      </c>
      <c r="K9" s="53">
        <f t="shared" si="2"/>
        <v>46890</v>
      </c>
      <c r="L9" s="176">
        <f t="shared" si="3"/>
        <v>48953.16</v>
      </c>
      <c r="O9" s="190"/>
    </row>
    <row r="10" spans="1:15" x14ac:dyDescent="0.3">
      <c r="A10" s="52" t="s">
        <v>1249</v>
      </c>
      <c r="B10" s="52" t="s">
        <v>1281</v>
      </c>
      <c r="C10" s="53">
        <v>25000</v>
      </c>
      <c r="D10" s="53"/>
      <c r="E10" s="53">
        <f t="shared" si="4"/>
        <v>25000</v>
      </c>
      <c r="F10" s="53"/>
      <c r="G10" s="53">
        <f t="shared" si="0"/>
        <v>25000</v>
      </c>
      <c r="H10" s="53"/>
      <c r="I10" s="69">
        <f t="shared" si="1"/>
        <v>25000</v>
      </c>
      <c r="J10" s="69">
        <v>25000</v>
      </c>
      <c r="K10" s="53">
        <f t="shared" si="2"/>
        <v>26050</v>
      </c>
      <c r="L10" s="176">
        <f t="shared" si="3"/>
        <v>27196.2</v>
      </c>
      <c r="O10" s="190"/>
    </row>
    <row r="11" spans="1:15" x14ac:dyDescent="0.3">
      <c r="A11" s="52" t="s">
        <v>1252</v>
      </c>
      <c r="B11" s="52" t="s">
        <v>1282</v>
      </c>
      <c r="C11" s="53">
        <v>60000</v>
      </c>
      <c r="D11" s="53"/>
      <c r="E11" s="53">
        <f t="shared" si="4"/>
        <v>60000</v>
      </c>
      <c r="F11" s="53"/>
      <c r="G11" s="53">
        <f t="shared" si="0"/>
        <v>60000</v>
      </c>
      <c r="H11" s="53">
        <v>-19000</v>
      </c>
      <c r="I11" s="69">
        <f t="shared" si="1"/>
        <v>41000</v>
      </c>
      <c r="J11" s="69">
        <v>50000</v>
      </c>
      <c r="K11" s="53">
        <f t="shared" si="2"/>
        <v>52100</v>
      </c>
      <c r="L11" s="176">
        <f t="shared" si="3"/>
        <v>54392.4</v>
      </c>
      <c r="O11" s="190"/>
    </row>
    <row r="12" spans="1:15" x14ac:dyDescent="0.3">
      <c r="A12" s="52" t="s">
        <v>1253</v>
      </c>
      <c r="B12" s="52" t="s">
        <v>1283</v>
      </c>
      <c r="C12" s="53">
        <v>35000</v>
      </c>
      <c r="D12" s="53"/>
      <c r="E12" s="53">
        <f t="shared" si="4"/>
        <v>35000</v>
      </c>
      <c r="F12" s="53"/>
      <c r="G12" s="53">
        <f t="shared" si="0"/>
        <v>35000</v>
      </c>
      <c r="H12" s="53"/>
      <c r="I12" s="69">
        <f t="shared" si="1"/>
        <v>35000</v>
      </c>
      <c r="J12" s="69">
        <v>35000</v>
      </c>
      <c r="K12" s="53">
        <f t="shared" si="2"/>
        <v>36470</v>
      </c>
      <c r="L12" s="176">
        <f t="shared" si="3"/>
        <v>38074.68</v>
      </c>
      <c r="O12" s="190"/>
    </row>
    <row r="13" spans="1:15" x14ac:dyDescent="0.3">
      <c r="A13" s="52"/>
      <c r="B13" s="52"/>
      <c r="C13" s="53">
        <v>0</v>
      </c>
      <c r="D13" s="53"/>
      <c r="E13" s="53">
        <f t="shared" si="4"/>
        <v>0</v>
      </c>
      <c r="F13" s="53"/>
      <c r="G13" s="53">
        <f t="shared" si="0"/>
        <v>0</v>
      </c>
      <c r="H13" s="53"/>
      <c r="I13" s="69">
        <f t="shared" si="1"/>
        <v>0</v>
      </c>
      <c r="J13" s="69">
        <v>0</v>
      </c>
      <c r="K13" s="53">
        <f t="shared" si="2"/>
        <v>0</v>
      </c>
      <c r="L13" s="176">
        <f t="shared" si="3"/>
        <v>0</v>
      </c>
      <c r="O13" s="190"/>
    </row>
    <row r="14" spans="1:15" x14ac:dyDescent="0.3">
      <c r="A14" s="52" t="s">
        <v>1254</v>
      </c>
      <c r="B14" s="52" t="s">
        <v>471</v>
      </c>
      <c r="C14" s="53">
        <v>550000</v>
      </c>
      <c r="D14" s="53"/>
      <c r="E14" s="53">
        <f t="shared" si="4"/>
        <v>550000</v>
      </c>
      <c r="F14" s="53"/>
      <c r="G14" s="53">
        <f t="shared" si="0"/>
        <v>550000</v>
      </c>
      <c r="H14" s="53">
        <v>150000</v>
      </c>
      <c r="I14" s="69">
        <f t="shared" si="1"/>
        <v>700000</v>
      </c>
      <c r="J14" s="69">
        <v>500000</v>
      </c>
      <c r="K14" s="53">
        <f t="shared" si="2"/>
        <v>521000</v>
      </c>
      <c r="L14" s="176">
        <f t="shared" si="3"/>
        <v>543924</v>
      </c>
      <c r="O14" s="190"/>
    </row>
    <row r="15" spans="1:15" x14ac:dyDescent="0.3">
      <c r="A15" s="52"/>
      <c r="B15" s="51" t="s">
        <v>474</v>
      </c>
      <c r="C15" s="53">
        <v>0</v>
      </c>
      <c r="D15" s="53"/>
      <c r="E15" s="53">
        <f t="shared" si="4"/>
        <v>0</v>
      </c>
      <c r="F15" s="53"/>
      <c r="G15" s="53">
        <f t="shared" si="0"/>
        <v>0</v>
      </c>
      <c r="H15" s="53"/>
      <c r="I15" s="69">
        <f t="shared" si="1"/>
        <v>0</v>
      </c>
      <c r="J15" s="69">
        <v>0</v>
      </c>
      <c r="K15" s="53">
        <f t="shared" si="2"/>
        <v>0</v>
      </c>
      <c r="L15" s="176">
        <f t="shared" si="3"/>
        <v>0</v>
      </c>
      <c r="O15" s="190"/>
    </row>
    <row r="16" spans="1:15" x14ac:dyDescent="0.3">
      <c r="A16" s="52" t="s">
        <v>1316</v>
      </c>
      <c r="B16" s="52" t="s">
        <v>207</v>
      </c>
      <c r="C16" s="53">
        <v>150000</v>
      </c>
      <c r="D16" s="53"/>
      <c r="E16" s="53">
        <f t="shared" si="4"/>
        <v>150000</v>
      </c>
      <c r="F16" s="53"/>
      <c r="G16" s="53">
        <f t="shared" si="0"/>
        <v>150000</v>
      </c>
      <c r="H16" s="53">
        <v>-109000</v>
      </c>
      <c r="I16" s="69">
        <f t="shared" si="1"/>
        <v>41000</v>
      </c>
      <c r="J16" s="69">
        <v>90000</v>
      </c>
      <c r="K16" s="53">
        <f t="shared" si="2"/>
        <v>93780</v>
      </c>
      <c r="L16" s="176">
        <f t="shared" si="3"/>
        <v>97906.32</v>
      </c>
      <c r="O16" s="190"/>
    </row>
    <row r="17" spans="1:15" x14ac:dyDescent="0.3">
      <c r="A17" s="52" t="s">
        <v>1314</v>
      </c>
      <c r="B17" s="52" t="s">
        <v>238</v>
      </c>
      <c r="C17" s="53">
        <v>60000</v>
      </c>
      <c r="D17" s="53"/>
      <c r="E17" s="53">
        <f t="shared" si="4"/>
        <v>60000</v>
      </c>
      <c r="F17" s="53"/>
      <c r="G17" s="53">
        <f t="shared" si="0"/>
        <v>60000</v>
      </c>
      <c r="H17" s="53">
        <v>-10000</v>
      </c>
      <c r="I17" s="69">
        <f t="shared" si="1"/>
        <v>50000</v>
      </c>
      <c r="J17" s="69">
        <v>60000</v>
      </c>
      <c r="K17" s="53">
        <f t="shared" si="2"/>
        <v>62520</v>
      </c>
      <c r="L17" s="176">
        <f t="shared" si="3"/>
        <v>65270.880000000005</v>
      </c>
      <c r="O17" s="190"/>
    </row>
    <row r="18" spans="1:15" x14ac:dyDescent="0.3">
      <c r="A18" s="52" t="s">
        <v>1317</v>
      </c>
      <c r="B18" s="52" t="s">
        <v>205</v>
      </c>
      <c r="C18" s="53">
        <v>150000</v>
      </c>
      <c r="D18" s="53"/>
      <c r="E18" s="53">
        <f t="shared" si="4"/>
        <v>150000</v>
      </c>
      <c r="F18" s="53"/>
      <c r="G18" s="53">
        <f t="shared" si="0"/>
        <v>150000</v>
      </c>
      <c r="H18" s="53">
        <v>45120</v>
      </c>
      <c r="I18" s="69">
        <f t="shared" si="1"/>
        <v>195120</v>
      </c>
      <c r="J18" s="69">
        <v>150000</v>
      </c>
      <c r="K18" s="53">
        <f t="shared" si="2"/>
        <v>156300</v>
      </c>
      <c r="L18" s="176">
        <f t="shared" si="3"/>
        <v>163177.20000000001</v>
      </c>
      <c r="O18" s="190"/>
    </row>
    <row r="19" spans="1:15" x14ac:dyDescent="0.3">
      <c r="A19" s="52" t="s">
        <v>1341</v>
      </c>
      <c r="B19" s="52" t="s">
        <v>206</v>
      </c>
      <c r="C19" s="53">
        <v>50000</v>
      </c>
      <c r="D19" s="53"/>
      <c r="E19" s="53">
        <f t="shared" si="4"/>
        <v>50000</v>
      </c>
      <c r="F19" s="53"/>
      <c r="G19" s="53">
        <f t="shared" si="0"/>
        <v>50000</v>
      </c>
      <c r="H19" s="53">
        <v>-50000</v>
      </c>
      <c r="I19" s="69">
        <f t="shared" si="1"/>
        <v>0</v>
      </c>
      <c r="J19" s="69">
        <v>50000</v>
      </c>
      <c r="K19" s="53">
        <f t="shared" si="2"/>
        <v>52100</v>
      </c>
      <c r="L19" s="176">
        <f t="shared" si="3"/>
        <v>54392.4</v>
      </c>
      <c r="O19" s="190"/>
    </row>
    <row r="20" spans="1:15" x14ac:dyDescent="0.3">
      <c r="A20" s="52"/>
      <c r="B20" s="51" t="s">
        <v>475</v>
      </c>
      <c r="C20" s="53">
        <v>0</v>
      </c>
      <c r="D20" s="53"/>
      <c r="E20" s="53">
        <f t="shared" si="4"/>
        <v>0</v>
      </c>
      <c r="F20" s="53"/>
      <c r="G20" s="53">
        <f t="shared" si="0"/>
        <v>0</v>
      </c>
      <c r="H20" s="53"/>
      <c r="I20" s="69">
        <f t="shared" si="1"/>
        <v>0</v>
      </c>
      <c r="J20" s="69">
        <v>0</v>
      </c>
      <c r="K20" s="53">
        <f t="shared" si="2"/>
        <v>0</v>
      </c>
      <c r="L20" s="176">
        <f t="shared" si="3"/>
        <v>0</v>
      </c>
      <c r="O20" s="190"/>
    </row>
    <row r="21" spans="1:15" x14ac:dyDescent="0.3">
      <c r="A21" s="52" t="s">
        <v>1255</v>
      </c>
      <c r="B21" s="52" t="s">
        <v>235</v>
      </c>
      <c r="C21" s="53">
        <v>35000</v>
      </c>
      <c r="D21" s="53"/>
      <c r="E21" s="53">
        <f t="shared" si="4"/>
        <v>35000</v>
      </c>
      <c r="F21" s="53"/>
      <c r="G21" s="53">
        <f t="shared" si="0"/>
        <v>35000</v>
      </c>
      <c r="H21" s="53">
        <v>-10000</v>
      </c>
      <c r="I21" s="69">
        <f t="shared" si="1"/>
        <v>25000</v>
      </c>
      <c r="J21" s="69">
        <v>35000</v>
      </c>
      <c r="K21" s="53">
        <f t="shared" si="2"/>
        <v>36470</v>
      </c>
      <c r="L21" s="176">
        <f t="shared" si="3"/>
        <v>38074.68</v>
      </c>
      <c r="O21" s="190"/>
    </row>
    <row r="22" spans="1:15" x14ac:dyDescent="0.3">
      <c r="A22" s="52" t="s">
        <v>1256</v>
      </c>
      <c r="B22" s="52" t="s">
        <v>210</v>
      </c>
      <c r="C22" s="53">
        <v>25000</v>
      </c>
      <c r="D22" s="53"/>
      <c r="E22" s="53">
        <f t="shared" si="4"/>
        <v>25000</v>
      </c>
      <c r="F22" s="53"/>
      <c r="G22" s="53">
        <f t="shared" si="0"/>
        <v>25000</v>
      </c>
      <c r="H22" s="53">
        <v>-10000</v>
      </c>
      <c r="I22" s="69">
        <f t="shared" si="1"/>
        <v>15000</v>
      </c>
      <c r="J22" s="69">
        <v>20000</v>
      </c>
      <c r="K22" s="53">
        <f t="shared" si="2"/>
        <v>20840</v>
      </c>
      <c r="L22" s="176">
        <f t="shared" si="3"/>
        <v>21756.959999999999</v>
      </c>
      <c r="O22" s="190"/>
    </row>
    <row r="23" spans="1:15" x14ac:dyDescent="0.3">
      <c r="A23" s="52" t="s">
        <v>1248</v>
      </c>
      <c r="B23" s="52" t="s">
        <v>220</v>
      </c>
      <c r="C23" s="53">
        <v>65000</v>
      </c>
      <c r="D23" s="53">
        <v>100000</v>
      </c>
      <c r="E23" s="53">
        <f t="shared" si="4"/>
        <v>165000</v>
      </c>
      <c r="F23" s="53"/>
      <c r="G23" s="53">
        <f t="shared" si="0"/>
        <v>165000</v>
      </c>
      <c r="H23" s="53">
        <v>198000</v>
      </c>
      <c r="I23" s="69">
        <f t="shared" si="1"/>
        <v>363000</v>
      </c>
      <c r="J23" s="69">
        <v>140000</v>
      </c>
      <c r="K23" s="53">
        <f t="shared" si="2"/>
        <v>145880</v>
      </c>
      <c r="L23" s="176">
        <f t="shared" si="3"/>
        <v>152298.72</v>
      </c>
      <c r="O23" s="190"/>
    </row>
    <row r="24" spans="1:15" x14ac:dyDescent="0.3">
      <c r="A24" s="52"/>
      <c r="B24" s="51" t="s">
        <v>461</v>
      </c>
      <c r="C24" s="53">
        <v>0</v>
      </c>
      <c r="D24" s="53"/>
      <c r="E24" s="53">
        <f t="shared" si="4"/>
        <v>0</v>
      </c>
      <c r="F24" s="53"/>
      <c r="G24" s="53">
        <f t="shared" si="0"/>
        <v>0</v>
      </c>
      <c r="H24" s="53"/>
      <c r="I24" s="69">
        <f t="shared" si="1"/>
        <v>0</v>
      </c>
      <c r="J24" s="69">
        <v>0</v>
      </c>
      <c r="K24" s="53">
        <f t="shared" si="2"/>
        <v>0</v>
      </c>
      <c r="L24" s="176">
        <f t="shared" si="3"/>
        <v>0</v>
      </c>
      <c r="O24" s="190"/>
    </row>
    <row r="25" spans="1:15" x14ac:dyDescent="0.3">
      <c r="A25" s="52" t="s">
        <v>1257</v>
      </c>
      <c r="B25" s="52" t="s">
        <v>523</v>
      </c>
      <c r="C25" s="53">
        <v>250000</v>
      </c>
      <c r="D25" s="53"/>
      <c r="E25" s="53">
        <f t="shared" si="4"/>
        <v>250000</v>
      </c>
      <c r="F25" s="53"/>
      <c r="G25" s="53">
        <f t="shared" si="0"/>
        <v>250000</v>
      </c>
      <c r="H25" s="53">
        <v>-250000</v>
      </c>
      <c r="I25" s="69">
        <f t="shared" si="1"/>
        <v>0</v>
      </c>
      <c r="J25" s="69"/>
      <c r="K25" s="53">
        <f t="shared" si="2"/>
        <v>0</v>
      </c>
      <c r="L25" s="176">
        <f t="shared" si="3"/>
        <v>0</v>
      </c>
      <c r="O25" s="190"/>
    </row>
    <row r="26" spans="1:15" x14ac:dyDescent="0.3">
      <c r="A26" s="52" t="s">
        <v>1258</v>
      </c>
      <c r="B26" s="52" t="s">
        <v>1277</v>
      </c>
      <c r="C26" s="53">
        <v>350000</v>
      </c>
      <c r="D26" s="53"/>
      <c r="E26" s="53">
        <f t="shared" si="4"/>
        <v>350000</v>
      </c>
      <c r="F26" s="53"/>
      <c r="G26" s="53">
        <f t="shared" si="0"/>
        <v>350000</v>
      </c>
      <c r="H26" s="53">
        <f>-100000-100000</f>
        <v>-200000</v>
      </c>
      <c r="I26" s="69">
        <f t="shared" si="1"/>
        <v>150000</v>
      </c>
      <c r="J26" s="69">
        <v>150000</v>
      </c>
      <c r="K26" s="53">
        <f t="shared" si="2"/>
        <v>156300</v>
      </c>
      <c r="L26" s="176">
        <f t="shared" si="3"/>
        <v>163177.20000000001</v>
      </c>
      <c r="O26" s="190"/>
    </row>
    <row r="27" spans="1:15" x14ac:dyDescent="0.3">
      <c r="A27" s="52" t="s">
        <v>1343</v>
      </c>
      <c r="B27" s="52" t="s">
        <v>1336</v>
      </c>
      <c r="C27" s="53"/>
      <c r="D27" s="53"/>
      <c r="E27" s="53"/>
      <c r="F27" s="53"/>
      <c r="G27" s="53"/>
      <c r="H27" s="53">
        <v>37000</v>
      </c>
      <c r="I27" s="69">
        <f t="shared" si="1"/>
        <v>37000</v>
      </c>
      <c r="J27" s="69">
        <v>40000</v>
      </c>
      <c r="K27" s="53">
        <f t="shared" si="2"/>
        <v>41680</v>
      </c>
      <c r="L27" s="176">
        <f t="shared" si="3"/>
        <v>43513.919999999998</v>
      </c>
      <c r="O27" s="190"/>
    </row>
    <row r="28" spans="1:15" x14ac:dyDescent="0.3">
      <c r="A28" s="52"/>
      <c r="B28" s="52"/>
      <c r="C28" s="53"/>
      <c r="D28" s="53"/>
      <c r="E28" s="53">
        <f t="shared" si="4"/>
        <v>0</v>
      </c>
      <c r="F28" s="53"/>
      <c r="G28" s="53">
        <f t="shared" si="0"/>
        <v>0</v>
      </c>
      <c r="H28" s="53"/>
      <c r="I28" s="69">
        <f t="shared" si="1"/>
        <v>0</v>
      </c>
      <c r="J28" s="69">
        <v>0</v>
      </c>
      <c r="K28" s="53">
        <f t="shared" si="2"/>
        <v>0</v>
      </c>
      <c r="L28" s="176">
        <f t="shared" si="3"/>
        <v>0</v>
      </c>
      <c r="O28" s="190"/>
    </row>
    <row r="29" spans="1:15" x14ac:dyDescent="0.3">
      <c r="A29" s="52" t="s">
        <v>1315</v>
      </c>
      <c r="B29" s="52" t="s">
        <v>48</v>
      </c>
      <c r="C29" s="53">
        <v>102124.41389375</v>
      </c>
      <c r="D29" s="53"/>
      <c r="E29" s="53">
        <f t="shared" si="4"/>
        <v>102124.41389375</v>
      </c>
      <c r="F29" s="53"/>
      <c r="G29" s="53">
        <f t="shared" si="0"/>
        <v>102124.41389375</v>
      </c>
      <c r="H29" s="53"/>
      <c r="I29" s="69">
        <f t="shared" si="1"/>
        <v>102124.41389375</v>
      </c>
      <c r="J29" s="69">
        <v>104446.77827105869</v>
      </c>
      <c r="K29" s="53">
        <f t="shared" si="2"/>
        <v>108833.54295844315</v>
      </c>
      <c r="L29" s="176">
        <f t="shared" si="3"/>
        <v>113622.21884861466</v>
      </c>
      <c r="O29" s="190"/>
    </row>
    <row r="30" spans="1:15" x14ac:dyDescent="0.3">
      <c r="A30" s="52"/>
      <c r="B30" s="51" t="s">
        <v>721</v>
      </c>
      <c r="C30" s="53">
        <v>0</v>
      </c>
      <c r="D30" s="53"/>
      <c r="E30" s="53">
        <f t="shared" si="4"/>
        <v>0</v>
      </c>
      <c r="F30" s="53"/>
      <c r="G30" s="53">
        <f t="shared" si="0"/>
        <v>0</v>
      </c>
      <c r="H30" s="53"/>
      <c r="I30" s="69">
        <f t="shared" si="1"/>
        <v>0</v>
      </c>
      <c r="J30" s="69">
        <v>0</v>
      </c>
      <c r="K30" s="53">
        <f t="shared" si="2"/>
        <v>0</v>
      </c>
      <c r="L30" s="176">
        <f t="shared" si="3"/>
        <v>0</v>
      </c>
      <c r="O30" s="190"/>
    </row>
    <row r="31" spans="1:15" x14ac:dyDescent="0.3">
      <c r="A31" s="52" t="s">
        <v>1313</v>
      </c>
      <c r="B31" s="52" t="s">
        <v>221</v>
      </c>
      <c r="C31" s="53">
        <v>2100</v>
      </c>
      <c r="D31" s="53"/>
      <c r="E31" s="53">
        <f t="shared" si="4"/>
        <v>2100</v>
      </c>
      <c r="F31" s="53"/>
      <c r="G31" s="53">
        <f t="shared" si="0"/>
        <v>2100</v>
      </c>
      <c r="H31" s="53"/>
      <c r="I31" s="69">
        <f t="shared" si="1"/>
        <v>2100</v>
      </c>
      <c r="J31" s="69">
        <v>2100</v>
      </c>
      <c r="K31" s="53">
        <f t="shared" si="2"/>
        <v>2188.2000000000003</v>
      </c>
      <c r="L31" s="176">
        <f t="shared" si="3"/>
        <v>2284.4808000000003</v>
      </c>
      <c r="O31" s="190"/>
    </row>
    <row r="32" spans="1:15" x14ac:dyDescent="0.3">
      <c r="A32" s="52" t="s">
        <v>1259</v>
      </c>
      <c r="B32" s="52" t="s">
        <v>234</v>
      </c>
      <c r="C32" s="53">
        <v>30000</v>
      </c>
      <c r="D32" s="53"/>
      <c r="E32" s="53">
        <f t="shared" si="4"/>
        <v>30000</v>
      </c>
      <c r="F32" s="53"/>
      <c r="G32" s="53">
        <f t="shared" si="0"/>
        <v>30000</v>
      </c>
      <c r="H32" s="53"/>
      <c r="I32" s="69">
        <f t="shared" si="1"/>
        <v>30000</v>
      </c>
      <c r="J32" s="69">
        <v>30000</v>
      </c>
      <c r="K32" s="53">
        <f t="shared" si="2"/>
        <v>31260</v>
      </c>
      <c r="L32" s="176">
        <f t="shared" si="3"/>
        <v>32635.440000000002</v>
      </c>
      <c r="O32" s="190"/>
    </row>
    <row r="33" spans="1:17" x14ac:dyDescent="0.3">
      <c r="A33" s="52" t="s">
        <v>1260</v>
      </c>
      <c r="B33" s="52" t="s">
        <v>42</v>
      </c>
      <c r="C33" s="53">
        <v>52700</v>
      </c>
      <c r="D33" s="53"/>
      <c r="E33" s="53">
        <f t="shared" si="4"/>
        <v>52700</v>
      </c>
      <c r="F33" s="53"/>
      <c r="G33" s="53">
        <f t="shared" si="0"/>
        <v>52700</v>
      </c>
      <c r="H33" s="53"/>
      <c r="I33" s="69">
        <f t="shared" si="1"/>
        <v>52700</v>
      </c>
      <c r="J33" s="69">
        <v>52700</v>
      </c>
      <c r="K33" s="53">
        <f t="shared" si="2"/>
        <v>54913.4</v>
      </c>
      <c r="L33" s="176">
        <f t="shared" si="3"/>
        <v>57329.589600000007</v>
      </c>
      <c r="O33" s="190"/>
    </row>
    <row r="34" spans="1:17" x14ac:dyDescent="0.3">
      <c r="A34" s="52" t="s">
        <v>1261</v>
      </c>
      <c r="B34" s="52" t="s">
        <v>40</v>
      </c>
      <c r="C34" s="53">
        <v>70000</v>
      </c>
      <c r="D34" s="53"/>
      <c r="E34" s="53">
        <f t="shared" si="4"/>
        <v>70000</v>
      </c>
      <c r="F34" s="53"/>
      <c r="G34" s="53">
        <f t="shared" si="0"/>
        <v>70000</v>
      </c>
      <c r="H34" s="53">
        <v>-40000</v>
      </c>
      <c r="I34" s="69">
        <f t="shared" si="1"/>
        <v>30000</v>
      </c>
      <c r="J34" s="69">
        <v>70000</v>
      </c>
      <c r="K34" s="53">
        <f t="shared" si="2"/>
        <v>72940</v>
      </c>
      <c r="L34" s="176">
        <f t="shared" si="3"/>
        <v>76149.36</v>
      </c>
      <c r="O34" s="190"/>
    </row>
    <row r="35" spans="1:17" x14ac:dyDescent="0.3">
      <c r="A35" s="52" t="s">
        <v>1262</v>
      </c>
      <c r="B35" s="52" t="s">
        <v>44</v>
      </c>
      <c r="C35" s="53">
        <v>25000</v>
      </c>
      <c r="D35" s="53"/>
      <c r="E35" s="53">
        <f t="shared" si="4"/>
        <v>25000</v>
      </c>
      <c r="F35" s="53"/>
      <c r="G35" s="53">
        <f t="shared" si="0"/>
        <v>25000</v>
      </c>
      <c r="H35" s="53"/>
      <c r="I35" s="69">
        <f t="shared" si="1"/>
        <v>25000</v>
      </c>
      <c r="J35" s="69">
        <v>25000</v>
      </c>
      <c r="K35" s="53">
        <f t="shared" si="2"/>
        <v>26050</v>
      </c>
      <c r="L35" s="176">
        <f t="shared" si="3"/>
        <v>27196.2</v>
      </c>
      <c r="O35" s="190"/>
    </row>
    <row r="36" spans="1:17" x14ac:dyDescent="0.3">
      <c r="A36" s="52" t="s">
        <v>1263</v>
      </c>
      <c r="B36" s="52" t="s">
        <v>526</v>
      </c>
      <c r="C36" s="53">
        <v>3000</v>
      </c>
      <c r="D36" s="53"/>
      <c r="E36" s="53">
        <f t="shared" si="4"/>
        <v>3000</v>
      </c>
      <c r="F36" s="53"/>
      <c r="G36" s="53">
        <f t="shared" si="0"/>
        <v>3000</v>
      </c>
      <c r="H36" s="53"/>
      <c r="I36" s="69">
        <f t="shared" si="1"/>
        <v>3000</v>
      </c>
      <c r="J36" s="69">
        <v>3000</v>
      </c>
      <c r="K36" s="53">
        <f t="shared" si="2"/>
        <v>3126</v>
      </c>
      <c r="L36" s="176">
        <f t="shared" si="3"/>
        <v>3263.5440000000003</v>
      </c>
      <c r="O36" s="190"/>
    </row>
    <row r="37" spans="1:17" x14ac:dyDescent="0.3">
      <c r="A37" s="52" t="s">
        <v>1264</v>
      </c>
      <c r="B37" s="52" t="s">
        <v>525</v>
      </c>
      <c r="C37" s="53">
        <v>12000</v>
      </c>
      <c r="D37" s="53"/>
      <c r="E37" s="53">
        <f t="shared" si="4"/>
        <v>12000</v>
      </c>
      <c r="F37" s="53"/>
      <c r="G37" s="53">
        <f t="shared" si="0"/>
        <v>12000</v>
      </c>
      <c r="H37" s="53"/>
      <c r="I37" s="69">
        <f t="shared" si="1"/>
        <v>12000</v>
      </c>
      <c r="J37" s="69">
        <v>12000</v>
      </c>
      <c r="K37" s="53">
        <f t="shared" si="2"/>
        <v>12504</v>
      </c>
      <c r="L37" s="176">
        <f t="shared" si="3"/>
        <v>13054.176000000001</v>
      </c>
      <c r="O37" s="190"/>
    </row>
    <row r="38" spans="1:17" x14ac:dyDescent="0.3">
      <c r="A38" s="52" t="s">
        <v>1265</v>
      </c>
      <c r="B38" s="52" t="s">
        <v>527</v>
      </c>
      <c r="C38" s="53">
        <v>2108</v>
      </c>
      <c r="D38" s="53"/>
      <c r="E38" s="53">
        <f t="shared" si="4"/>
        <v>2108</v>
      </c>
      <c r="F38" s="53"/>
      <c r="G38" s="53">
        <f t="shared" si="0"/>
        <v>2108</v>
      </c>
      <c r="H38" s="53"/>
      <c r="I38" s="69">
        <f t="shared" si="1"/>
        <v>2108</v>
      </c>
      <c r="J38" s="69">
        <v>2108</v>
      </c>
      <c r="K38" s="53">
        <f t="shared" si="2"/>
        <v>2196.5360000000001</v>
      </c>
      <c r="L38" s="176">
        <f t="shared" si="3"/>
        <v>2293.1835840000003</v>
      </c>
      <c r="O38" s="190"/>
    </row>
    <row r="39" spans="1:17" x14ac:dyDescent="0.3">
      <c r="A39" s="52"/>
      <c r="B39" s="51" t="s">
        <v>477</v>
      </c>
      <c r="C39" s="53">
        <v>0</v>
      </c>
      <c r="D39" s="53"/>
      <c r="E39" s="53">
        <f t="shared" si="4"/>
        <v>0</v>
      </c>
      <c r="F39" s="53"/>
      <c r="G39" s="53">
        <f t="shared" si="0"/>
        <v>0</v>
      </c>
      <c r="H39" s="53"/>
      <c r="I39" s="69">
        <f t="shared" si="1"/>
        <v>0</v>
      </c>
      <c r="J39" s="69">
        <v>0</v>
      </c>
      <c r="K39" s="53">
        <f t="shared" si="2"/>
        <v>0</v>
      </c>
      <c r="L39" s="176">
        <f t="shared" si="3"/>
        <v>0</v>
      </c>
      <c r="O39" s="190"/>
    </row>
    <row r="40" spans="1:17" x14ac:dyDescent="0.3">
      <c r="A40" s="52" t="s">
        <v>1266</v>
      </c>
      <c r="B40" s="52" t="s">
        <v>211</v>
      </c>
      <c r="C40" s="53">
        <v>0</v>
      </c>
      <c r="D40" s="53"/>
      <c r="E40" s="53">
        <f t="shared" si="4"/>
        <v>0</v>
      </c>
      <c r="F40" s="53"/>
      <c r="G40" s="53">
        <f t="shared" si="0"/>
        <v>0</v>
      </c>
      <c r="H40" s="53"/>
      <c r="I40" s="69">
        <f t="shared" si="1"/>
        <v>0</v>
      </c>
      <c r="J40" s="69">
        <v>0</v>
      </c>
      <c r="K40" s="53">
        <f t="shared" si="2"/>
        <v>0</v>
      </c>
      <c r="L40" s="176">
        <f t="shared" si="3"/>
        <v>0</v>
      </c>
      <c r="O40" s="190"/>
    </row>
    <row r="41" spans="1:17" x14ac:dyDescent="0.3">
      <c r="A41" s="52" t="s">
        <v>1267</v>
      </c>
      <c r="B41" s="52" t="s">
        <v>237</v>
      </c>
      <c r="C41" s="53">
        <v>150000</v>
      </c>
      <c r="D41" s="53"/>
      <c r="E41" s="53">
        <f t="shared" si="4"/>
        <v>150000</v>
      </c>
      <c r="F41" s="53"/>
      <c r="G41" s="53">
        <f t="shared" si="0"/>
        <v>150000</v>
      </c>
      <c r="H41" s="53">
        <v>-80000</v>
      </c>
      <c r="I41" s="69">
        <f t="shared" si="1"/>
        <v>70000</v>
      </c>
      <c r="J41" s="69">
        <v>150000</v>
      </c>
      <c r="K41" s="53">
        <f t="shared" si="2"/>
        <v>156300</v>
      </c>
      <c r="L41" s="176">
        <f t="shared" si="3"/>
        <v>163177.20000000001</v>
      </c>
      <c r="O41" s="190"/>
    </row>
    <row r="42" spans="1:17" x14ac:dyDescent="0.3">
      <c r="A42" s="52" t="s">
        <v>1268</v>
      </c>
      <c r="B42" s="52" t="s">
        <v>212</v>
      </c>
      <c r="C42" s="53">
        <v>40000</v>
      </c>
      <c r="D42" s="53"/>
      <c r="E42" s="53">
        <f t="shared" si="4"/>
        <v>40000</v>
      </c>
      <c r="F42" s="53"/>
      <c r="G42" s="53">
        <f t="shared" si="0"/>
        <v>40000</v>
      </c>
      <c r="H42" s="53"/>
      <c r="I42" s="69">
        <f t="shared" si="1"/>
        <v>40000</v>
      </c>
      <c r="J42" s="69">
        <v>40000</v>
      </c>
      <c r="K42" s="53">
        <f t="shared" si="2"/>
        <v>41680</v>
      </c>
      <c r="L42" s="176">
        <f t="shared" si="3"/>
        <v>43513.919999999998</v>
      </c>
      <c r="O42" s="190"/>
    </row>
    <row r="43" spans="1:17" x14ac:dyDescent="0.3">
      <c r="A43" s="52" t="s">
        <v>1269</v>
      </c>
      <c r="B43" s="52" t="s">
        <v>213</v>
      </c>
      <c r="C43" s="53">
        <v>800000</v>
      </c>
      <c r="D43" s="53"/>
      <c r="E43" s="53">
        <f t="shared" si="4"/>
        <v>800000</v>
      </c>
      <c r="F43" s="53"/>
      <c r="G43" s="53">
        <f t="shared" si="0"/>
        <v>800000</v>
      </c>
      <c r="H43" s="53">
        <f>240880-100000</f>
        <v>140880</v>
      </c>
      <c r="I43" s="69">
        <f t="shared" si="1"/>
        <v>940880</v>
      </c>
      <c r="J43" s="69">
        <v>800000</v>
      </c>
      <c r="K43" s="53">
        <f t="shared" si="2"/>
        <v>833600</v>
      </c>
      <c r="L43" s="176">
        <f t="shared" si="3"/>
        <v>870278.4</v>
      </c>
      <c r="O43" s="190"/>
    </row>
    <row r="44" spans="1:17" x14ac:dyDescent="0.3">
      <c r="A44" s="52"/>
      <c r="B44" s="52"/>
      <c r="C44" s="53"/>
      <c r="D44" s="53"/>
      <c r="E44" s="53">
        <f t="shared" si="4"/>
        <v>0</v>
      </c>
      <c r="F44" s="53"/>
      <c r="G44" s="53">
        <f t="shared" si="0"/>
        <v>0</v>
      </c>
      <c r="H44" s="53"/>
      <c r="I44" s="69">
        <f t="shared" si="1"/>
        <v>0</v>
      </c>
      <c r="J44" s="69">
        <v>0</v>
      </c>
      <c r="K44" s="53">
        <f t="shared" si="2"/>
        <v>0</v>
      </c>
      <c r="L44" s="176">
        <f t="shared" si="3"/>
        <v>0</v>
      </c>
      <c r="O44" s="190"/>
    </row>
    <row r="45" spans="1:17" x14ac:dyDescent="0.3">
      <c r="A45" s="52" t="s">
        <v>1270</v>
      </c>
      <c r="B45" s="52" t="s">
        <v>826</v>
      </c>
      <c r="C45" s="53">
        <f>'2021 2022 DRAFT BUDGET SUMMARY'!J16*1%</f>
        <v>726414.74978844728</v>
      </c>
      <c r="D45" s="53"/>
      <c r="E45" s="53">
        <f t="shared" si="4"/>
        <v>726414.74978844728</v>
      </c>
      <c r="F45" s="53"/>
      <c r="G45" s="53">
        <f t="shared" si="0"/>
        <v>726414.74978844728</v>
      </c>
      <c r="H45" s="53">
        <v>157000</v>
      </c>
      <c r="I45" s="69">
        <f t="shared" si="1"/>
        <v>883414.74978844728</v>
      </c>
      <c r="J45" s="69">
        <f>'2021 2022 DRAFT BUDGET SUMMARY'!L17</f>
        <v>895380.52887548739</v>
      </c>
      <c r="K45" s="53">
        <f t="shared" si="2"/>
        <v>932986.51108825789</v>
      </c>
      <c r="L45" s="176">
        <f t="shared" si="3"/>
        <v>974037.91757614131</v>
      </c>
      <c r="O45" s="190"/>
    </row>
    <row r="46" spans="1:17" x14ac:dyDescent="0.3">
      <c r="A46" s="52" t="s">
        <v>1271</v>
      </c>
      <c r="B46" s="52" t="s">
        <v>827</v>
      </c>
      <c r="C46" s="53">
        <v>458886.38311278756</v>
      </c>
      <c r="D46" s="53"/>
      <c r="E46" s="53">
        <f t="shared" si="4"/>
        <v>458886.38311278756</v>
      </c>
      <c r="F46" s="53"/>
      <c r="G46" s="53">
        <f t="shared" si="0"/>
        <v>458886.38311278756</v>
      </c>
      <c r="H46" s="53"/>
      <c r="I46" s="69">
        <f t="shared" si="1"/>
        <v>458886.38311278756</v>
      </c>
      <c r="J46" s="69">
        <v>458886.38311278756</v>
      </c>
      <c r="K46" s="53">
        <f t="shared" si="2"/>
        <v>478159.61120352463</v>
      </c>
      <c r="L46" s="176">
        <f t="shared" si="3"/>
        <v>499198.63409647974</v>
      </c>
      <c r="O46" s="190"/>
    </row>
    <row r="47" spans="1:17" ht="13.5" thickBot="1" x14ac:dyDescent="0.35">
      <c r="A47" s="52" t="s">
        <v>1312</v>
      </c>
      <c r="B47" s="52" t="s">
        <v>222</v>
      </c>
      <c r="C47" s="53">
        <v>580000</v>
      </c>
      <c r="D47" s="53"/>
      <c r="E47" s="53">
        <f t="shared" si="4"/>
        <v>580000</v>
      </c>
      <c r="F47" s="53"/>
      <c r="G47" s="53">
        <f t="shared" si="0"/>
        <v>580000</v>
      </c>
      <c r="H47" s="53"/>
      <c r="I47" s="69">
        <f t="shared" si="1"/>
        <v>580000</v>
      </c>
      <c r="J47" s="69">
        <v>500000</v>
      </c>
      <c r="K47" s="53">
        <f t="shared" si="2"/>
        <v>521000</v>
      </c>
      <c r="L47" s="176">
        <f t="shared" si="3"/>
        <v>543924</v>
      </c>
      <c r="O47" s="190"/>
    </row>
    <row r="48" spans="1:17" s="77" customFormat="1" ht="13.5" thickBot="1" x14ac:dyDescent="0.35">
      <c r="A48" s="57" t="s">
        <v>674</v>
      </c>
      <c r="B48" s="57"/>
      <c r="C48" s="59">
        <f>SUM(C8:C47)</f>
        <v>4969333.5467949845</v>
      </c>
      <c r="D48" s="59">
        <f>SUM(D8:D47)</f>
        <v>100000</v>
      </c>
      <c r="E48" s="59">
        <f>SUM(E8:E47)</f>
        <v>5069333.5467949845</v>
      </c>
      <c r="F48" s="59">
        <f t="shared" ref="F48:L48" si="5">SUM(F8:F47)</f>
        <v>0</v>
      </c>
      <c r="G48" s="59">
        <f t="shared" si="5"/>
        <v>5069333.5467949845</v>
      </c>
      <c r="H48" s="59">
        <f t="shared" si="5"/>
        <v>-80000</v>
      </c>
      <c r="I48" s="59">
        <f t="shared" si="5"/>
        <v>4989333.5467949845</v>
      </c>
      <c r="J48" s="59">
        <f t="shared" si="5"/>
        <v>4600621.6902593337</v>
      </c>
      <c r="K48" s="59">
        <f t="shared" si="5"/>
        <v>4793847.8012502249</v>
      </c>
      <c r="L48" s="59">
        <f t="shared" si="5"/>
        <v>5004777.1045052353</v>
      </c>
      <c r="M48" s="180"/>
      <c r="N48" s="193"/>
      <c r="O48" s="193"/>
      <c r="P48" s="219"/>
      <c r="Q48" s="76"/>
    </row>
    <row r="49" spans="1:17" s="77" customFormat="1" ht="13.5" thickTop="1" x14ac:dyDescent="0.3">
      <c r="A49" s="60"/>
      <c r="B49" s="60"/>
      <c r="C49" s="78"/>
      <c r="D49" s="78"/>
      <c r="E49" s="53">
        <f t="shared" si="4"/>
        <v>0</v>
      </c>
      <c r="F49" s="62"/>
      <c r="G49" s="62"/>
      <c r="H49" s="62"/>
      <c r="I49" s="62"/>
      <c r="J49" s="62"/>
      <c r="K49" s="60"/>
      <c r="L49" s="217"/>
      <c r="M49" s="180"/>
      <c r="N49" s="193"/>
      <c r="O49" s="219"/>
      <c r="P49" s="219"/>
      <c r="Q49" s="76"/>
    </row>
    <row r="50" spans="1:17" x14ac:dyDescent="0.3">
      <c r="A50" s="51" t="s">
        <v>77</v>
      </c>
      <c r="B50" s="52"/>
      <c r="C50" s="53"/>
      <c r="D50" s="53"/>
      <c r="E50" s="53">
        <f t="shared" si="4"/>
        <v>0</v>
      </c>
      <c r="F50" s="53"/>
      <c r="G50" s="53">
        <f t="shared" ref="G50:G114" si="6">E50+F50</f>
        <v>0</v>
      </c>
      <c r="H50" s="53"/>
      <c r="I50" s="53"/>
      <c r="J50" s="53"/>
      <c r="K50" s="52"/>
      <c r="L50" s="216"/>
    </row>
    <row r="51" spans="1:17" x14ac:dyDescent="0.3">
      <c r="A51" s="52" t="s">
        <v>240</v>
      </c>
      <c r="B51" s="52" t="s">
        <v>241</v>
      </c>
      <c r="C51" s="53">
        <v>9212529.7087499984</v>
      </c>
      <c r="D51" s="53"/>
      <c r="E51" s="53">
        <f t="shared" si="4"/>
        <v>9212529.7087499984</v>
      </c>
      <c r="F51" s="53"/>
      <c r="G51" s="53">
        <f t="shared" si="6"/>
        <v>9212529.7087499984</v>
      </c>
      <c r="H51" s="53">
        <v>-206256.85505968519</v>
      </c>
      <c r="I51" s="69">
        <f t="shared" ref="I51:I66" si="7">G51+H51</f>
        <v>9006272.8536903132</v>
      </c>
      <c r="J51" s="69">
        <v>10059138.73321633</v>
      </c>
      <c r="K51" s="53">
        <f t="shared" ref="K51:K66" si="8">J51*104.2%</f>
        <v>10481622.560011417</v>
      </c>
      <c r="L51" s="176">
        <f t="shared" ref="L51:L66" si="9">K51*104.4%</f>
        <v>10942813.95265192</v>
      </c>
      <c r="O51" s="190"/>
    </row>
    <row r="52" spans="1:17" x14ac:dyDescent="0.3">
      <c r="A52" s="52" t="s">
        <v>242</v>
      </c>
      <c r="B52" s="52" t="s">
        <v>56</v>
      </c>
      <c r="C52" s="53">
        <v>757710.80906250014</v>
      </c>
      <c r="D52" s="53"/>
      <c r="E52" s="53">
        <f t="shared" si="4"/>
        <v>757710.80906250014</v>
      </c>
      <c r="F52" s="53"/>
      <c r="G52" s="53">
        <f t="shared" si="6"/>
        <v>757710.80906250014</v>
      </c>
      <c r="H52" s="53">
        <v>-84905.019062500098</v>
      </c>
      <c r="I52" s="69">
        <f t="shared" si="7"/>
        <v>672805.79</v>
      </c>
      <c r="J52" s="69">
        <v>836625.45327602758</v>
      </c>
      <c r="K52" s="53">
        <f t="shared" si="8"/>
        <v>871763.72231362073</v>
      </c>
      <c r="L52" s="176">
        <f t="shared" si="9"/>
        <v>910121.32609542005</v>
      </c>
      <c r="O52" s="190"/>
      <c r="Q52" s="64">
        <f>P52-M52</f>
        <v>0</v>
      </c>
    </row>
    <row r="53" spans="1:17" x14ac:dyDescent="0.3">
      <c r="A53" s="52" t="s">
        <v>243</v>
      </c>
      <c r="B53" s="52" t="s">
        <v>57</v>
      </c>
      <c r="C53" s="53">
        <v>4138.0800000000017</v>
      </c>
      <c r="D53" s="53"/>
      <c r="E53" s="53">
        <f t="shared" si="4"/>
        <v>4138.0800000000017</v>
      </c>
      <c r="F53" s="53"/>
      <c r="G53" s="53">
        <f t="shared" si="6"/>
        <v>4138.0800000000017</v>
      </c>
      <c r="H53" s="53">
        <v>111.84000000000015</v>
      </c>
      <c r="I53" s="69">
        <f t="shared" si="7"/>
        <v>4249.9200000000019</v>
      </c>
      <c r="J53" s="69">
        <v>4249.9200000000019</v>
      </c>
      <c r="K53" s="53">
        <f t="shared" si="8"/>
        <v>4428.4166400000022</v>
      </c>
      <c r="L53" s="176">
        <f t="shared" si="9"/>
        <v>4623.2669721600023</v>
      </c>
      <c r="O53" s="190"/>
    </row>
    <row r="54" spans="1:17" x14ac:dyDescent="0.3">
      <c r="A54" s="52" t="s">
        <v>244</v>
      </c>
      <c r="B54" s="52" t="s">
        <v>245</v>
      </c>
      <c r="C54" s="53">
        <v>729972.19999999984</v>
      </c>
      <c r="D54" s="53"/>
      <c r="E54" s="53">
        <f t="shared" si="4"/>
        <v>729972.19999999984</v>
      </c>
      <c r="F54" s="53"/>
      <c r="G54" s="53">
        <f t="shared" si="6"/>
        <v>729972.19999999984</v>
      </c>
      <c r="H54" s="53">
        <v>-11237.959999999963</v>
      </c>
      <c r="I54" s="69">
        <f t="shared" si="7"/>
        <v>718734.23999999987</v>
      </c>
      <c r="J54" s="69">
        <v>718734.23999999987</v>
      </c>
      <c r="K54" s="53">
        <f t="shared" si="8"/>
        <v>748921.07807999989</v>
      </c>
      <c r="L54" s="176">
        <f t="shared" si="9"/>
        <v>781873.60551551997</v>
      </c>
      <c r="O54" s="190"/>
    </row>
    <row r="55" spans="1:17" x14ac:dyDescent="0.3">
      <c r="A55" s="52" t="s">
        <v>246</v>
      </c>
      <c r="B55" s="52" t="s">
        <v>121</v>
      </c>
      <c r="C55" s="53">
        <v>1892010.5399250006</v>
      </c>
      <c r="D55" s="53"/>
      <c r="E55" s="53">
        <f t="shared" si="4"/>
        <v>1892010.5399250006</v>
      </c>
      <c r="F55" s="53"/>
      <c r="G55" s="53">
        <f t="shared" si="6"/>
        <v>1892010.5399250006</v>
      </c>
      <c r="H55" s="53">
        <v>58420.44756425661</v>
      </c>
      <c r="I55" s="69">
        <f t="shared" si="7"/>
        <v>1950430.9874892572</v>
      </c>
      <c r="J55" s="69">
        <v>2099281.5613562996</v>
      </c>
      <c r="K55" s="53">
        <f t="shared" si="8"/>
        <v>2187451.3869332643</v>
      </c>
      <c r="L55" s="176">
        <f t="shared" si="9"/>
        <v>2283699.2479583281</v>
      </c>
      <c r="O55" s="190"/>
    </row>
    <row r="56" spans="1:17" x14ac:dyDescent="0.3">
      <c r="A56" s="52" t="s">
        <v>247</v>
      </c>
      <c r="B56" s="52" t="s">
        <v>59</v>
      </c>
      <c r="C56" s="53">
        <v>58126.278875000004</v>
      </c>
      <c r="D56" s="53"/>
      <c r="E56" s="53">
        <f t="shared" si="4"/>
        <v>58126.278875000004</v>
      </c>
      <c r="F56" s="53"/>
      <c r="G56" s="53">
        <f t="shared" si="6"/>
        <v>58126.278875000004</v>
      </c>
      <c r="H56" s="53">
        <v>394.34740984864766</v>
      </c>
      <c r="I56" s="69">
        <f t="shared" si="7"/>
        <v>58520.626284848651</v>
      </c>
      <c r="J56" s="69">
        <v>60072.045185818715</v>
      </c>
      <c r="K56" s="53">
        <f t="shared" si="8"/>
        <v>62595.071083623101</v>
      </c>
      <c r="L56" s="176">
        <f t="shared" si="9"/>
        <v>65349.254211302519</v>
      </c>
      <c r="O56" s="190"/>
    </row>
    <row r="57" spans="1:17" x14ac:dyDescent="0.3">
      <c r="A57" s="52" t="s">
        <v>593</v>
      </c>
      <c r="B57" s="52" t="s">
        <v>590</v>
      </c>
      <c r="C57" s="53">
        <v>125000</v>
      </c>
      <c r="D57" s="53"/>
      <c r="E57" s="53">
        <f t="shared" si="4"/>
        <v>125000</v>
      </c>
      <c r="F57" s="53"/>
      <c r="G57" s="53">
        <f t="shared" si="6"/>
        <v>125000</v>
      </c>
      <c r="H57" s="53">
        <v>-69000</v>
      </c>
      <c r="I57" s="69">
        <f t="shared" si="7"/>
        <v>56000</v>
      </c>
      <c r="J57" s="69">
        <v>56000</v>
      </c>
      <c r="K57" s="53">
        <f t="shared" si="8"/>
        <v>58352</v>
      </c>
      <c r="L57" s="176">
        <f t="shared" si="9"/>
        <v>60919.488000000005</v>
      </c>
      <c r="O57" s="190"/>
    </row>
    <row r="58" spans="1:17" x14ac:dyDescent="0.3">
      <c r="A58" s="52" t="s">
        <v>248</v>
      </c>
      <c r="B58" s="52" t="s">
        <v>124</v>
      </c>
      <c r="C58" s="53">
        <v>396493.25249999994</v>
      </c>
      <c r="D58" s="53"/>
      <c r="E58" s="53">
        <f t="shared" si="4"/>
        <v>396493.25249999994</v>
      </c>
      <c r="F58" s="53"/>
      <c r="G58" s="53">
        <f t="shared" si="6"/>
        <v>396493.25249999994</v>
      </c>
      <c r="H58" s="53">
        <v>0</v>
      </c>
      <c r="I58" s="69">
        <f t="shared" si="7"/>
        <v>396493.25249999994</v>
      </c>
      <c r="J58" s="69">
        <v>419293.94683200005</v>
      </c>
      <c r="K58" s="53">
        <f t="shared" si="8"/>
        <v>436904.29259894404</v>
      </c>
      <c r="L58" s="176">
        <f t="shared" si="9"/>
        <v>456128.08147329761</v>
      </c>
      <c r="O58" s="190"/>
    </row>
    <row r="59" spans="1:17" x14ac:dyDescent="0.3">
      <c r="A59" s="52" t="s">
        <v>249</v>
      </c>
      <c r="B59" s="52" t="s">
        <v>60</v>
      </c>
      <c r="C59" s="53">
        <v>74305.440000000002</v>
      </c>
      <c r="D59" s="53"/>
      <c r="E59" s="53">
        <f t="shared" si="4"/>
        <v>74305.440000000002</v>
      </c>
      <c r="F59" s="53"/>
      <c r="G59" s="53">
        <f t="shared" si="6"/>
        <v>74305.440000000002</v>
      </c>
      <c r="H59" s="53">
        <v>4085.2799999999843</v>
      </c>
      <c r="I59" s="69">
        <f t="shared" si="7"/>
        <v>78390.719999999987</v>
      </c>
      <c r="J59" s="69">
        <v>83094.163200000025</v>
      </c>
      <c r="K59" s="53">
        <f t="shared" si="8"/>
        <v>86584.118054400024</v>
      </c>
      <c r="L59" s="176">
        <f t="shared" si="9"/>
        <v>90393.819248793632</v>
      </c>
      <c r="O59" s="190"/>
    </row>
    <row r="60" spans="1:17" x14ac:dyDescent="0.3">
      <c r="A60" s="52" t="s">
        <v>449</v>
      </c>
      <c r="B60" s="52" t="s">
        <v>61</v>
      </c>
      <c r="C60" s="53">
        <v>150000</v>
      </c>
      <c r="D60" s="53"/>
      <c r="E60" s="53">
        <f t="shared" si="4"/>
        <v>150000</v>
      </c>
      <c r="F60" s="53"/>
      <c r="G60" s="53">
        <f t="shared" si="6"/>
        <v>150000</v>
      </c>
      <c r="H60" s="53">
        <v>59768.850000000006</v>
      </c>
      <c r="I60" s="69">
        <f t="shared" si="7"/>
        <v>209768.85</v>
      </c>
      <c r="J60" s="69">
        <v>182500.35</v>
      </c>
      <c r="K60" s="53">
        <f t="shared" si="8"/>
        <v>190165.36470000001</v>
      </c>
      <c r="L60" s="176">
        <f t="shared" si="9"/>
        <v>198532.64074680003</v>
      </c>
      <c r="O60" s="190"/>
    </row>
    <row r="61" spans="1:17" x14ac:dyDescent="0.3">
      <c r="A61" s="52" t="s">
        <v>250</v>
      </c>
      <c r="B61" s="52" t="s">
        <v>62</v>
      </c>
      <c r="C61" s="53">
        <v>100000</v>
      </c>
      <c r="D61" s="53"/>
      <c r="E61" s="53">
        <f t="shared" si="4"/>
        <v>100000</v>
      </c>
      <c r="F61" s="53"/>
      <c r="G61" s="53">
        <f t="shared" si="6"/>
        <v>100000</v>
      </c>
      <c r="H61" s="53">
        <v>100000</v>
      </c>
      <c r="I61" s="69">
        <f t="shared" si="7"/>
        <v>200000</v>
      </c>
      <c r="J61" s="69">
        <v>200000</v>
      </c>
      <c r="K61" s="53">
        <f t="shared" si="8"/>
        <v>208400</v>
      </c>
      <c r="L61" s="176">
        <f t="shared" si="9"/>
        <v>217569.6</v>
      </c>
      <c r="O61" s="190"/>
    </row>
    <row r="62" spans="1:17" x14ac:dyDescent="0.3">
      <c r="A62" s="52" t="s">
        <v>251</v>
      </c>
      <c r="B62" s="52" t="s">
        <v>252</v>
      </c>
      <c r="C62" s="53">
        <v>558964.848</v>
      </c>
      <c r="D62" s="53"/>
      <c r="E62" s="53">
        <f t="shared" si="4"/>
        <v>558964.848</v>
      </c>
      <c r="F62" s="53"/>
      <c r="G62" s="53">
        <f t="shared" si="6"/>
        <v>558964.848</v>
      </c>
      <c r="H62" s="53">
        <v>1522.0320000000065</v>
      </c>
      <c r="I62" s="69">
        <f t="shared" si="7"/>
        <v>560486.88</v>
      </c>
      <c r="J62" s="69">
        <v>594116.09279999998</v>
      </c>
      <c r="K62" s="53">
        <f t="shared" si="8"/>
        <v>619068.96869759995</v>
      </c>
      <c r="L62" s="176">
        <f t="shared" si="9"/>
        <v>646308.00332029432</v>
      </c>
      <c r="O62" s="190"/>
    </row>
    <row r="63" spans="1:17" x14ac:dyDescent="0.3">
      <c r="A63" s="52" t="s">
        <v>450</v>
      </c>
      <c r="B63" s="52" t="s">
        <v>529</v>
      </c>
      <c r="C63" s="53">
        <v>48628.800000000003</v>
      </c>
      <c r="D63" s="53"/>
      <c r="E63" s="53">
        <f t="shared" si="4"/>
        <v>48628.800000000003</v>
      </c>
      <c r="F63" s="53"/>
      <c r="G63" s="53">
        <f t="shared" si="6"/>
        <v>48628.800000000003</v>
      </c>
      <c r="H63" s="53">
        <v>2181.5999999999913</v>
      </c>
      <c r="I63" s="69">
        <f t="shared" si="7"/>
        <v>50810.399999999994</v>
      </c>
      <c r="J63" s="69">
        <v>50810.399999999994</v>
      </c>
      <c r="K63" s="53">
        <f t="shared" si="8"/>
        <v>52944.436799999996</v>
      </c>
      <c r="L63" s="176">
        <f t="shared" si="9"/>
        <v>55273.992019199999</v>
      </c>
      <c r="O63" s="190"/>
    </row>
    <row r="64" spans="1:17" x14ac:dyDescent="0.3">
      <c r="A64" s="52" t="s">
        <v>451</v>
      </c>
      <c r="B64" s="52" t="s">
        <v>528</v>
      </c>
      <c r="C64" s="53">
        <v>100000</v>
      </c>
      <c r="D64" s="53"/>
      <c r="E64" s="53">
        <f t="shared" si="4"/>
        <v>100000</v>
      </c>
      <c r="F64" s="53"/>
      <c r="G64" s="53">
        <f t="shared" si="6"/>
        <v>100000</v>
      </c>
      <c r="H64" s="53">
        <v>-100000</v>
      </c>
      <c r="I64" s="69">
        <f t="shared" si="7"/>
        <v>0</v>
      </c>
      <c r="J64" s="69"/>
      <c r="K64" s="53">
        <f t="shared" si="8"/>
        <v>0</v>
      </c>
      <c r="L64" s="176">
        <f t="shared" si="9"/>
        <v>0</v>
      </c>
      <c r="O64" s="190"/>
    </row>
    <row r="65" spans="1:17" x14ac:dyDescent="0.3">
      <c r="A65" s="52" t="s">
        <v>253</v>
      </c>
      <c r="B65" s="52" t="s">
        <v>254</v>
      </c>
      <c r="C65" s="53">
        <v>1784.6399999999999</v>
      </c>
      <c r="D65" s="53"/>
      <c r="E65" s="53">
        <f t="shared" si="4"/>
        <v>1784.6399999999999</v>
      </c>
      <c r="F65" s="53"/>
      <c r="G65" s="53">
        <f t="shared" si="6"/>
        <v>1784.6399999999999</v>
      </c>
      <c r="H65" s="53">
        <v>0</v>
      </c>
      <c r="I65" s="69">
        <f t="shared" si="7"/>
        <v>1784.6399999999999</v>
      </c>
      <c r="J65" s="69">
        <v>1784.6399999999999</v>
      </c>
      <c r="K65" s="53">
        <f t="shared" si="8"/>
        <v>1859.5948799999999</v>
      </c>
      <c r="L65" s="176">
        <f t="shared" si="9"/>
        <v>1941.4170547199999</v>
      </c>
      <c r="O65" s="190"/>
    </row>
    <row r="66" spans="1:17" ht="13.5" thickBot="1" x14ac:dyDescent="0.35">
      <c r="A66" s="56" t="s">
        <v>255</v>
      </c>
      <c r="B66" s="56" t="s">
        <v>256</v>
      </c>
      <c r="C66" s="53">
        <v>195365.04</v>
      </c>
      <c r="D66" s="53"/>
      <c r="E66" s="53">
        <f t="shared" si="4"/>
        <v>195365.04</v>
      </c>
      <c r="F66" s="53"/>
      <c r="G66" s="53">
        <f t="shared" si="6"/>
        <v>195365.04</v>
      </c>
      <c r="H66" s="53">
        <v>8400.7200000000012</v>
      </c>
      <c r="I66" s="69">
        <f t="shared" si="7"/>
        <v>203765.76000000001</v>
      </c>
      <c r="J66" s="69">
        <v>215991.70560000002</v>
      </c>
      <c r="K66" s="53">
        <f t="shared" si="8"/>
        <v>225063.35723520003</v>
      </c>
      <c r="L66" s="176">
        <f t="shared" si="9"/>
        <v>234966.14495354885</v>
      </c>
      <c r="O66" s="190"/>
    </row>
    <row r="67" spans="1:17" s="77" customFormat="1" ht="13.5" thickBot="1" x14ac:dyDescent="0.35">
      <c r="A67" s="57" t="s">
        <v>257</v>
      </c>
      <c r="B67" s="57"/>
      <c r="C67" s="59">
        <f t="shared" ref="C67:L67" si="10">SUM(C51:C66)</f>
        <v>14405029.637112496</v>
      </c>
      <c r="D67" s="59">
        <f t="shared" si="10"/>
        <v>0</v>
      </c>
      <c r="E67" s="59">
        <f t="shared" si="10"/>
        <v>14405029.637112496</v>
      </c>
      <c r="F67" s="59">
        <f t="shared" si="10"/>
        <v>0</v>
      </c>
      <c r="G67" s="59">
        <f t="shared" si="10"/>
        <v>14405029.637112496</v>
      </c>
      <c r="H67" s="59">
        <f t="shared" si="10"/>
        <v>-236514.71714807997</v>
      </c>
      <c r="I67" s="59">
        <f t="shared" si="10"/>
        <v>14168514.919964422</v>
      </c>
      <c r="J67" s="59">
        <f t="shared" si="10"/>
        <v>15581693.251466477</v>
      </c>
      <c r="K67" s="59">
        <f t="shared" si="10"/>
        <v>16236124.368028069</v>
      </c>
      <c r="L67" s="59">
        <f t="shared" si="10"/>
        <v>16950513.840221304</v>
      </c>
      <c r="M67" s="180"/>
      <c r="N67" s="193"/>
      <c r="O67" s="193"/>
      <c r="P67" s="219"/>
      <c r="Q67" s="76"/>
    </row>
    <row r="68" spans="1:17" s="77" customFormat="1" ht="13.5" thickTop="1" x14ac:dyDescent="0.3">
      <c r="A68" s="74"/>
      <c r="B68" s="74"/>
      <c r="C68" s="80"/>
      <c r="D68" s="80"/>
      <c r="E68" s="53">
        <f t="shared" si="4"/>
        <v>0</v>
      </c>
      <c r="F68" s="79"/>
      <c r="G68" s="53">
        <f t="shared" si="6"/>
        <v>0</v>
      </c>
      <c r="H68" s="79"/>
      <c r="I68" s="79"/>
      <c r="J68" s="79"/>
      <c r="K68" s="80"/>
      <c r="L68" s="180"/>
      <c r="M68" s="180"/>
      <c r="N68" s="193"/>
      <c r="O68" s="219"/>
      <c r="P68" s="219"/>
      <c r="Q68" s="76"/>
    </row>
    <row r="69" spans="1:17" x14ac:dyDescent="0.3">
      <c r="A69" s="51" t="s">
        <v>81</v>
      </c>
      <c r="B69" s="52"/>
      <c r="C69" s="53"/>
      <c r="D69" s="53"/>
      <c r="E69" s="53">
        <f t="shared" si="4"/>
        <v>0</v>
      </c>
      <c r="F69" s="53"/>
      <c r="G69" s="53">
        <f t="shared" si="6"/>
        <v>0</v>
      </c>
      <c r="H69" s="53"/>
      <c r="I69" s="53"/>
      <c r="J69" s="53"/>
      <c r="K69" s="53"/>
      <c r="L69" s="176"/>
    </row>
    <row r="70" spans="1:17" ht="13.5" thickBot="1" x14ac:dyDescent="0.35">
      <c r="A70" s="52" t="s">
        <v>1195</v>
      </c>
      <c r="B70" s="52" t="s">
        <v>204</v>
      </c>
      <c r="C70" s="53">
        <v>650000</v>
      </c>
      <c r="D70" s="53"/>
      <c r="E70" s="53">
        <f t="shared" si="4"/>
        <v>650000</v>
      </c>
      <c r="F70" s="53"/>
      <c r="G70" s="53">
        <f t="shared" si="6"/>
        <v>650000</v>
      </c>
      <c r="H70" s="53">
        <f>250000+100000</f>
        <v>350000</v>
      </c>
      <c r="I70" s="69">
        <f>G70+H70</f>
        <v>1000000</v>
      </c>
      <c r="J70" s="69">
        <v>1000000</v>
      </c>
      <c r="K70" s="53">
        <f>J70*104.2%</f>
        <v>1042000</v>
      </c>
      <c r="L70" s="176">
        <f>K70*104.4%</f>
        <v>1087848</v>
      </c>
      <c r="O70" s="190"/>
    </row>
    <row r="71" spans="1:17" s="77" customFormat="1" ht="13.5" thickBot="1" x14ac:dyDescent="0.35">
      <c r="A71" s="57" t="s">
        <v>722</v>
      </c>
      <c r="B71" s="57"/>
      <c r="C71" s="59">
        <f t="shared" ref="C71:L71" si="11">SUM(C70:C70)</f>
        <v>650000</v>
      </c>
      <c r="D71" s="59">
        <f t="shared" si="11"/>
        <v>0</v>
      </c>
      <c r="E71" s="59">
        <f t="shared" si="11"/>
        <v>650000</v>
      </c>
      <c r="F71" s="59">
        <f t="shared" si="11"/>
        <v>0</v>
      </c>
      <c r="G71" s="59">
        <f t="shared" si="11"/>
        <v>650000</v>
      </c>
      <c r="H71" s="59">
        <f t="shared" si="11"/>
        <v>350000</v>
      </c>
      <c r="I71" s="59">
        <f t="shared" si="11"/>
        <v>1000000</v>
      </c>
      <c r="J71" s="59">
        <f t="shared" si="11"/>
        <v>1000000</v>
      </c>
      <c r="K71" s="59">
        <f t="shared" si="11"/>
        <v>1042000</v>
      </c>
      <c r="L71" s="59">
        <f t="shared" si="11"/>
        <v>1087848</v>
      </c>
      <c r="M71" s="180"/>
      <c r="N71" s="193"/>
      <c r="O71" s="193"/>
      <c r="P71" s="193"/>
      <c r="Q71" s="76"/>
    </row>
    <row r="72" spans="1:17" ht="14" thickTop="1" thickBot="1" x14ac:dyDescent="0.35">
      <c r="A72" s="73"/>
      <c r="B72" s="73"/>
      <c r="C72" s="79"/>
      <c r="D72" s="79"/>
      <c r="E72" s="53">
        <f t="shared" si="4"/>
        <v>0</v>
      </c>
      <c r="F72" s="79"/>
      <c r="G72" s="53">
        <f t="shared" si="6"/>
        <v>0</v>
      </c>
      <c r="H72" s="79"/>
      <c r="I72" s="79"/>
      <c r="J72" s="79"/>
      <c r="K72" s="73"/>
      <c r="L72" s="108"/>
    </row>
    <row r="73" spans="1:17" ht="14" thickTop="1" thickBot="1" x14ac:dyDescent="0.35">
      <c r="A73" s="70" t="s">
        <v>723</v>
      </c>
      <c r="B73" s="81"/>
      <c r="C73" s="82">
        <f t="shared" ref="C73:L73" si="12">C71+C67+C48</f>
        <v>20024363.183907479</v>
      </c>
      <c r="D73" s="82">
        <f t="shared" si="12"/>
        <v>100000</v>
      </c>
      <c r="E73" s="82">
        <f t="shared" si="12"/>
        <v>20124363.183907479</v>
      </c>
      <c r="F73" s="82">
        <f t="shared" si="12"/>
        <v>0</v>
      </c>
      <c r="G73" s="82">
        <f t="shared" si="12"/>
        <v>20124363.183907479</v>
      </c>
      <c r="H73" s="82">
        <f t="shared" si="12"/>
        <v>33485.282851920027</v>
      </c>
      <c r="I73" s="82">
        <f t="shared" si="12"/>
        <v>20157848.466759406</v>
      </c>
      <c r="J73" s="82">
        <f t="shared" si="12"/>
        <v>21182314.941725813</v>
      </c>
      <c r="K73" s="82">
        <f t="shared" si="12"/>
        <v>22071972.169278294</v>
      </c>
      <c r="L73" s="82">
        <f t="shared" si="12"/>
        <v>23043138.944726542</v>
      </c>
      <c r="M73" s="180"/>
      <c r="N73" s="193"/>
      <c r="O73" s="193"/>
    </row>
    <row r="74" spans="1:17" ht="13.5" thickTop="1" x14ac:dyDescent="0.3">
      <c r="A74" s="60"/>
      <c r="B74" s="60"/>
      <c r="C74" s="78"/>
      <c r="D74" s="78"/>
      <c r="E74" s="53">
        <f t="shared" ref="E74:E137" si="13">C74+D74</f>
        <v>0</v>
      </c>
      <c r="F74" s="62"/>
      <c r="G74" s="53">
        <f t="shared" si="6"/>
        <v>0</v>
      </c>
      <c r="H74" s="62"/>
      <c r="I74" s="62"/>
      <c r="J74" s="62"/>
      <c r="K74" s="78"/>
      <c r="L74" s="178"/>
    </row>
    <row r="75" spans="1:17" x14ac:dyDescent="0.3">
      <c r="A75" s="51" t="s">
        <v>724</v>
      </c>
      <c r="B75" s="51"/>
      <c r="C75" s="67"/>
      <c r="D75" s="67"/>
      <c r="E75" s="53">
        <f t="shared" si="13"/>
        <v>0</v>
      </c>
      <c r="F75" s="53"/>
      <c r="G75" s="53">
        <f t="shared" si="6"/>
        <v>0</v>
      </c>
      <c r="H75" s="53"/>
      <c r="I75" s="53"/>
      <c r="J75" s="53"/>
      <c r="K75" s="67"/>
      <c r="L75" s="185"/>
    </row>
    <row r="76" spans="1:17" x14ac:dyDescent="0.3">
      <c r="A76" s="51"/>
      <c r="B76" s="51"/>
      <c r="C76" s="67"/>
      <c r="D76" s="67"/>
      <c r="E76" s="53">
        <f t="shared" si="13"/>
        <v>0</v>
      </c>
      <c r="F76" s="53"/>
      <c r="G76" s="53">
        <f t="shared" si="6"/>
        <v>0</v>
      </c>
      <c r="H76" s="53"/>
      <c r="I76" s="53"/>
      <c r="J76" s="53"/>
      <c r="K76" s="67"/>
      <c r="L76" s="185"/>
    </row>
    <row r="77" spans="1:17" x14ac:dyDescent="0.3">
      <c r="A77" s="51" t="s">
        <v>458</v>
      </c>
      <c r="B77" s="51"/>
      <c r="C77" s="67"/>
      <c r="D77" s="67"/>
      <c r="E77" s="53">
        <f t="shared" si="13"/>
        <v>0</v>
      </c>
      <c r="F77" s="53"/>
      <c r="G77" s="53">
        <f t="shared" si="6"/>
        <v>0</v>
      </c>
      <c r="H77" s="53"/>
      <c r="I77" s="53"/>
      <c r="J77" s="53"/>
      <c r="K77" s="67"/>
      <c r="L77" s="185"/>
    </row>
    <row r="78" spans="1:17" x14ac:dyDescent="0.3">
      <c r="A78" s="51"/>
      <c r="B78" s="51"/>
      <c r="C78" s="67"/>
      <c r="D78" s="67"/>
      <c r="E78" s="53">
        <f t="shared" si="13"/>
        <v>0</v>
      </c>
      <c r="F78" s="53"/>
      <c r="G78" s="53">
        <f t="shared" si="6"/>
        <v>0</v>
      </c>
      <c r="H78" s="53"/>
      <c r="I78" s="53"/>
      <c r="J78" s="53"/>
      <c r="K78" s="67"/>
      <c r="L78" s="185"/>
    </row>
    <row r="79" spans="1:17" x14ac:dyDescent="0.3">
      <c r="A79" s="52" t="s">
        <v>1240</v>
      </c>
      <c r="B79" s="52" t="s">
        <v>1163</v>
      </c>
      <c r="C79" s="53">
        <v>700000</v>
      </c>
      <c r="D79" s="53"/>
      <c r="E79" s="53">
        <f t="shared" si="13"/>
        <v>700000</v>
      </c>
      <c r="F79" s="53"/>
      <c r="G79" s="53">
        <f t="shared" si="6"/>
        <v>700000</v>
      </c>
      <c r="H79" s="53">
        <v>566072.82999999996</v>
      </c>
      <c r="I79" s="69">
        <f t="shared" ref="I79:I91" si="14">G79+H79</f>
        <v>1266072.83</v>
      </c>
      <c r="J79" s="69">
        <v>1300000</v>
      </c>
      <c r="K79" s="53">
        <f t="shared" ref="K79:K90" si="15">J79*104.2%</f>
        <v>1354600</v>
      </c>
      <c r="L79" s="176">
        <f t="shared" ref="L79:L90" si="16">K79*104.4%</f>
        <v>1414202.4000000001</v>
      </c>
      <c r="O79" s="190"/>
    </row>
    <row r="80" spans="1:17" x14ac:dyDescent="0.3">
      <c r="A80" s="52" t="s">
        <v>1241</v>
      </c>
      <c r="B80" s="52" t="s">
        <v>236</v>
      </c>
      <c r="C80" s="53">
        <v>380000</v>
      </c>
      <c r="D80" s="53"/>
      <c r="E80" s="53">
        <f t="shared" si="13"/>
        <v>380000</v>
      </c>
      <c r="F80" s="53"/>
      <c r="G80" s="53">
        <f t="shared" si="6"/>
        <v>380000</v>
      </c>
      <c r="H80" s="53">
        <v>-200000</v>
      </c>
      <c r="I80" s="69">
        <f t="shared" si="14"/>
        <v>180000</v>
      </c>
      <c r="J80" s="69">
        <v>400000</v>
      </c>
      <c r="K80" s="53">
        <f t="shared" si="15"/>
        <v>416800</v>
      </c>
      <c r="L80" s="176">
        <f t="shared" si="16"/>
        <v>435139.2</v>
      </c>
      <c r="O80" s="190"/>
    </row>
    <row r="81" spans="1:15" x14ac:dyDescent="0.3">
      <c r="A81" s="52"/>
      <c r="B81" s="52"/>
      <c r="C81" s="53"/>
      <c r="D81" s="53"/>
      <c r="E81" s="53">
        <f t="shared" si="13"/>
        <v>0</v>
      </c>
      <c r="F81" s="53"/>
      <c r="G81" s="53">
        <f t="shared" si="6"/>
        <v>0</v>
      </c>
      <c r="H81" s="53"/>
      <c r="I81" s="69">
        <f t="shared" si="14"/>
        <v>0</v>
      </c>
      <c r="J81" s="69"/>
      <c r="K81" s="53">
        <f t="shared" si="15"/>
        <v>0</v>
      </c>
      <c r="L81" s="176">
        <f t="shared" si="16"/>
        <v>0</v>
      </c>
      <c r="O81" s="190"/>
    </row>
    <row r="82" spans="1:15" x14ac:dyDescent="0.3">
      <c r="A82" s="52"/>
      <c r="B82" s="51" t="s">
        <v>461</v>
      </c>
      <c r="C82" s="53"/>
      <c r="D82" s="53"/>
      <c r="E82" s="53">
        <f t="shared" si="13"/>
        <v>0</v>
      </c>
      <c r="F82" s="53"/>
      <c r="G82" s="53">
        <f t="shared" si="6"/>
        <v>0</v>
      </c>
      <c r="H82" s="53"/>
      <c r="I82" s="69">
        <f t="shared" si="14"/>
        <v>0</v>
      </c>
      <c r="J82" s="69"/>
      <c r="K82" s="53">
        <f t="shared" si="15"/>
        <v>0</v>
      </c>
      <c r="L82" s="176">
        <f t="shared" si="16"/>
        <v>0</v>
      </c>
      <c r="O82" s="190"/>
    </row>
    <row r="83" spans="1:15" x14ac:dyDescent="0.3">
      <c r="A83" s="52" t="s">
        <v>1244</v>
      </c>
      <c r="B83" s="52" t="s">
        <v>25</v>
      </c>
      <c r="C83" s="53">
        <v>100000</v>
      </c>
      <c r="D83" s="53"/>
      <c r="E83" s="53">
        <f t="shared" si="13"/>
        <v>100000</v>
      </c>
      <c r="F83" s="53"/>
      <c r="G83" s="53">
        <f t="shared" si="6"/>
        <v>100000</v>
      </c>
      <c r="H83" s="53">
        <v>-30000</v>
      </c>
      <c r="I83" s="69">
        <f t="shared" si="14"/>
        <v>70000</v>
      </c>
      <c r="J83" s="69">
        <v>100000</v>
      </c>
      <c r="K83" s="53">
        <f t="shared" si="15"/>
        <v>104200</v>
      </c>
      <c r="L83" s="176">
        <f t="shared" si="16"/>
        <v>108784.8</v>
      </c>
      <c r="O83" s="190"/>
    </row>
    <row r="84" spans="1:15" x14ac:dyDescent="0.3">
      <c r="A84" s="52" t="s">
        <v>1246</v>
      </c>
      <c r="B84" s="52" t="s">
        <v>521</v>
      </c>
      <c r="C84" s="53">
        <v>650000</v>
      </c>
      <c r="D84" s="53"/>
      <c r="E84" s="53">
        <f t="shared" si="13"/>
        <v>650000</v>
      </c>
      <c r="F84" s="53"/>
      <c r="G84" s="53">
        <f t="shared" si="6"/>
        <v>650000</v>
      </c>
      <c r="H84" s="53">
        <v>-276970.64</v>
      </c>
      <c r="I84" s="69">
        <f t="shared" si="14"/>
        <v>373029.36</v>
      </c>
      <c r="J84" s="69">
        <v>960000</v>
      </c>
      <c r="K84" s="53">
        <f t="shared" si="15"/>
        <v>1000320</v>
      </c>
      <c r="L84" s="176">
        <f t="shared" si="16"/>
        <v>1044334.0800000001</v>
      </c>
      <c r="O84" s="190"/>
    </row>
    <row r="85" spans="1:15" x14ac:dyDescent="0.3">
      <c r="A85" s="52" t="s">
        <v>1521</v>
      </c>
      <c r="B85" s="52" t="s">
        <v>1446</v>
      </c>
      <c r="C85" s="53"/>
      <c r="D85" s="53"/>
      <c r="E85" s="53"/>
      <c r="F85" s="53"/>
      <c r="G85" s="53"/>
      <c r="H85" s="53"/>
      <c r="I85" s="69"/>
      <c r="J85" s="69">
        <v>250000</v>
      </c>
      <c r="K85" s="53">
        <f t="shared" si="15"/>
        <v>260500</v>
      </c>
      <c r="L85" s="176">
        <f t="shared" si="16"/>
        <v>271962</v>
      </c>
      <c r="O85" s="190"/>
    </row>
    <row r="86" spans="1:15" x14ac:dyDescent="0.3">
      <c r="A86" s="52" t="s">
        <v>1245</v>
      </c>
      <c r="B86" s="52" t="s">
        <v>522</v>
      </c>
      <c r="C86" s="53">
        <v>120000</v>
      </c>
      <c r="D86" s="53"/>
      <c r="E86" s="53">
        <f t="shared" si="13"/>
        <v>120000</v>
      </c>
      <c r="F86" s="53"/>
      <c r="G86" s="53">
        <f t="shared" si="6"/>
        <v>120000</v>
      </c>
      <c r="H86" s="53">
        <v>-24435</v>
      </c>
      <c r="I86" s="69">
        <f t="shared" si="14"/>
        <v>95565</v>
      </c>
      <c r="J86" s="69">
        <v>130000</v>
      </c>
      <c r="K86" s="53">
        <f t="shared" si="15"/>
        <v>135460</v>
      </c>
      <c r="L86" s="176">
        <f t="shared" si="16"/>
        <v>141420.24000000002</v>
      </c>
      <c r="O86" s="190"/>
    </row>
    <row r="87" spans="1:15" x14ac:dyDescent="0.3">
      <c r="A87" s="52"/>
      <c r="B87" s="51" t="s">
        <v>476</v>
      </c>
      <c r="C87" s="53"/>
      <c r="D87" s="53"/>
      <c r="E87" s="53">
        <f t="shared" si="13"/>
        <v>0</v>
      </c>
      <c r="F87" s="53"/>
      <c r="G87" s="53">
        <f t="shared" si="6"/>
        <v>0</v>
      </c>
      <c r="H87" s="53"/>
      <c r="I87" s="69">
        <f t="shared" si="14"/>
        <v>0</v>
      </c>
      <c r="J87" s="69"/>
      <c r="K87" s="53">
        <f t="shared" si="15"/>
        <v>0</v>
      </c>
      <c r="L87" s="176">
        <f t="shared" si="16"/>
        <v>0</v>
      </c>
      <c r="O87" s="190"/>
    </row>
    <row r="88" spans="1:15" x14ac:dyDescent="0.3">
      <c r="A88" s="52" t="s">
        <v>1242</v>
      </c>
      <c r="B88" s="52" t="s">
        <v>239</v>
      </c>
      <c r="C88" s="53">
        <v>100000</v>
      </c>
      <c r="D88" s="53"/>
      <c r="E88" s="53">
        <f t="shared" si="13"/>
        <v>100000</v>
      </c>
      <c r="F88" s="53"/>
      <c r="G88" s="53">
        <f t="shared" si="6"/>
        <v>100000</v>
      </c>
      <c r="H88" s="53">
        <v>-50000</v>
      </c>
      <c r="I88" s="69">
        <f t="shared" si="14"/>
        <v>50000</v>
      </c>
      <c r="J88" s="69">
        <v>50000</v>
      </c>
      <c r="K88" s="53">
        <f t="shared" si="15"/>
        <v>52100</v>
      </c>
      <c r="L88" s="176">
        <f t="shared" si="16"/>
        <v>54392.4</v>
      </c>
      <c r="O88" s="190"/>
    </row>
    <row r="89" spans="1:15" x14ac:dyDescent="0.3">
      <c r="A89" s="52" t="s">
        <v>1243</v>
      </c>
      <c r="B89" s="52" t="s">
        <v>217</v>
      </c>
      <c r="C89" s="53">
        <v>350000</v>
      </c>
      <c r="D89" s="53"/>
      <c r="E89" s="53">
        <f t="shared" si="13"/>
        <v>350000</v>
      </c>
      <c r="F89" s="53"/>
      <c r="G89" s="53">
        <f t="shared" si="6"/>
        <v>350000</v>
      </c>
      <c r="H89" s="53">
        <v>-154667.18999999994</v>
      </c>
      <c r="I89" s="69">
        <f t="shared" si="14"/>
        <v>195332.81000000006</v>
      </c>
      <c r="J89" s="69">
        <v>150000</v>
      </c>
      <c r="K89" s="53">
        <f t="shared" si="15"/>
        <v>156300</v>
      </c>
      <c r="L89" s="176">
        <f t="shared" si="16"/>
        <v>163177.20000000001</v>
      </c>
      <c r="O89" s="190"/>
    </row>
    <row r="90" spans="1:15" x14ac:dyDescent="0.3">
      <c r="A90" s="52" t="s">
        <v>1247</v>
      </c>
      <c r="B90" s="52" t="s">
        <v>1166</v>
      </c>
      <c r="C90" s="53">
        <v>100000</v>
      </c>
      <c r="D90" s="53"/>
      <c r="E90" s="53">
        <f t="shared" si="13"/>
        <v>100000</v>
      </c>
      <c r="F90" s="53"/>
      <c r="G90" s="53">
        <f t="shared" si="6"/>
        <v>100000</v>
      </c>
      <c r="H90" s="53"/>
      <c r="I90" s="69">
        <f t="shared" si="14"/>
        <v>100000</v>
      </c>
      <c r="J90" s="69">
        <v>50000</v>
      </c>
      <c r="K90" s="53">
        <f t="shared" si="15"/>
        <v>52100</v>
      </c>
      <c r="L90" s="176">
        <f t="shared" si="16"/>
        <v>54392.4</v>
      </c>
      <c r="O90" s="190"/>
    </row>
    <row r="91" spans="1:15" ht="13.5" thickBot="1" x14ac:dyDescent="0.35">
      <c r="A91" s="56"/>
      <c r="B91" s="56"/>
      <c r="C91" s="69"/>
      <c r="D91" s="69"/>
      <c r="E91" s="53">
        <f t="shared" si="13"/>
        <v>0</v>
      </c>
      <c r="F91" s="69"/>
      <c r="G91" s="53">
        <f t="shared" si="6"/>
        <v>0</v>
      </c>
      <c r="H91" s="69"/>
      <c r="I91" s="69">
        <f t="shared" si="14"/>
        <v>0</v>
      </c>
      <c r="J91" s="69"/>
      <c r="K91" s="69"/>
      <c r="L91" s="186"/>
      <c r="O91" s="190"/>
    </row>
    <row r="92" spans="1:15" ht="13.5" thickBot="1" x14ac:dyDescent="0.35">
      <c r="A92" s="57" t="s">
        <v>674</v>
      </c>
      <c r="B92" s="57"/>
      <c r="C92" s="59">
        <f t="shared" ref="C92:L92" si="17">SUM(C79:C91)</f>
        <v>2500000</v>
      </c>
      <c r="D92" s="59">
        <f t="shared" si="17"/>
        <v>0</v>
      </c>
      <c r="E92" s="59">
        <f t="shared" si="17"/>
        <v>2500000</v>
      </c>
      <c r="F92" s="59">
        <f t="shared" si="17"/>
        <v>0</v>
      </c>
      <c r="G92" s="59">
        <f t="shared" si="17"/>
        <v>2500000</v>
      </c>
      <c r="H92" s="59">
        <f t="shared" si="17"/>
        <v>-170000</v>
      </c>
      <c r="I92" s="59">
        <f t="shared" si="17"/>
        <v>2330000</v>
      </c>
      <c r="J92" s="59">
        <f t="shared" si="17"/>
        <v>3390000</v>
      </c>
      <c r="K92" s="59">
        <f t="shared" si="17"/>
        <v>3532380</v>
      </c>
      <c r="L92" s="59">
        <f t="shared" si="17"/>
        <v>3687804.7200000007</v>
      </c>
      <c r="M92" s="180"/>
      <c r="N92" s="193"/>
      <c r="O92" s="193"/>
    </row>
    <row r="93" spans="1:15" ht="13.5" thickTop="1" x14ac:dyDescent="0.3">
      <c r="A93" s="61"/>
      <c r="B93" s="61"/>
      <c r="C93" s="62"/>
      <c r="D93" s="62"/>
      <c r="E93" s="53">
        <f t="shared" si="13"/>
        <v>0</v>
      </c>
      <c r="F93" s="62"/>
      <c r="G93" s="53">
        <f t="shared" si="6"/>
        <v>0</v>
      </c>
      <c r="H93" s="62"/>
      <c r="I93" s="62"/>
      <c r="J93" s="62"/>
      <c r="K93" s="62"/>
      <c r="L93" s="184"/>
    </row>
    <row r="94" spans="1:15" x14ac:dyDescent="0.3">
      <c r="A94" s="51" t="s">
        <v>77</v>
      </c>
      <c r="B94" s="52"/>
      <c r="C94" s="53"/>
      <c r="D94" s="53"/>
      <c r="E94" s="53">
        <f t="shared" si="13"/>
        <v>0</v>
      </c>
      <c r="F94" s="53"/>
      <c r="G94" s="53">
        <f t="shared" si="6"/>
        <v>0</v>
      </c>
      <c r="H94" s="53"/>
      <c r="I94" s="53"/>
      <c r="J94" s="53"/>
      <c r="K94" s="53"/>
      <c r="L94" s="176"/>
    </row>
    <row r="95" spans="1:15" x14ac:dyDescent="0.3">
      <c r="A95" s="52"/>
      <c r="B95" s="52" t="s">
        <v>183</v>
      </c>
      <c r="C95" s="53">
        <v>0</v>
      </c>
      <c r="D95" s="53"/>
      <c r="E95" s="53">
        <f t="shared" si="13"/>
        <v>0</v>
      </c>
      <c r="F95" s="53"/>
      <c r="G95" s="53">
        <f t="shared" si="6"/>
        <v>0</v>
      </c>
      <c r="H95" s="53"/>
      <c r="I95" s="69">
        <f t="shared" ref="I95:I104" si="18">G95+H95</f>
        <v>0</v>
      </c>
      <c r="J95" s="69"/>
      <c r="K95" s="53"/>
      <c r="L95" s="176"/>
      <c r="O95" s="190"/>
    </row>
    <row r="96" spans="1:15" x14ac:dyDescent="0.3">
      <c r="A96" s="52"/>
      <c r="B96" s="52" t="s">
        <v>174</v>
      </c>
      <c r="C96" s="53">
        <v>0</v>
      </c>
      <c r="D96" s="53"/>
      <c r="E96" s="53">
        <f t="shared" si="13"/>
        <v>0</v>
      </c>
      <c r="F96" s="53"/>
      <c r="G96" s="53">
        <f t="shared" si="6"/>
        <v>0</v>
      </c>
      <c r="H96" s="53"/>
      <c r="I96" s="69">
        <f t="shared" si="18"/>
        <v>0</v>
      </c>
      <c r="J96" s="69"/>
      <c r="K96" s="53"/>
      <c r="L96" s="176"/>
      <c r="O96" s="190"/>
    </row>
    <row r="97" spans="1:15" x14ac:dyDescent="0.3">
      <c r="A97" s="52"/>
      <c r="B97" s="52" t="s">
        <v>180</v>
      </c>
      <c r="C97" s="53">
        <v>0</v>
      </c>
      <c r="D97" s="53"/>
      <c r="E97" s="53">
        <f t="shared" si="13"/>
        <v>0</v>
      </c>
      <c r="F97" s="53"/>
      <c r="G97" s="53">
        <f t="shared" si="6"/>
        <v>0</v>
      </c>
      <c r="H97" s="53"/>
      <c r="I97" s="69">
        <f t="shared" si="18"/>
        <v>0</v>
      </c>
      <c r="J97" s="69"/>
      <c r="K97" s="53"/>
      <c r="L97" s="176"/>
      <c r="O97" s="190"/>
    </row>
    <row r="98" spans="1:15" x14ac:dyDescent="0.3">
      <c r="A98" s="52"/>
      <c r="B98" s="52" t="s">
        <v>57</v>
      </c>
      <c r="C98" s="53"/>
      <c r="D98" s="53"/>
      <c r="E98" s="53">
        <f t="shared" si="13"/>
        <v>0</v>
      </c>
      <c r="F98" s="53"/>
      <c r="G98" s="53">
        <f t="shared" si="6"/>
        <v>0</v>
      </c>
      <c r="H98" s="53"/>
      <c r="I98" s="69">
        <f t="shared" si="18"/>
        <v>0</v>
      </c>
      <c r="J98" s="69"/>
      <c r="K98" s="53"/>
      <c r="L98" s="176"/>
      <c r="O98" s="190"/>
    </row>
    <row r="99" spans="1:15" x14ac:dyDescent="0.3">
      <c r="A99" s="52"/>
      <c r="B99" s="52" t="s">
        <v>166</v>
      </c>
      <c r="C99" s="53">
        <v>0</v>
      </c>
      <c r="D99" s="53"/>
      <c r="E99" s="53">
        <f t="shared" si="13"/>
        <v>0</v>
      </c>
      <c r="F99" s="53"/>
      <c r="G99" s="53">
        <f t="shared" si="6"/>
        <v>0</v>
      </c>
      <c r="H99" s="53"/>
      <c r="I99" s="69">
        <f t="shared" si="18"/>
        <v>0</v>
      </c>
      <c r="J99" s="69"/>
      <c r="K99" s="53"/>
      <c r="L99" s="176"/>
      <c r="O99" s="190"/>
    </row>
    <row r="100" spans="1:15" x14ac:dyDescent="0.3">
      <c r="A100" s="52"/>
      <c r="B100" s="52" t="s">
        <v>171</v>
      </c>
      <c r="C100" s="53">
        <v>0</v>
      </c>
      <c r="D100" s="53"/>
      <c r="E100" s="53">
        <f t="shared" si="13"/>
        <v>0</v>
      </c>
      <c r="F100" s="53"/>
      <c r="G100" s="53">
        <f t="shared" si="6"/>
        <v>0</v>
      </c>
      <c r="H100" s="53"/>
      <c r="I100" s="69">
        <f t="shared" si="18"/>
        <v>0</v>
      </c>
      <c r="J100" s="69"/>
      <c r="K100" s="53"/>
      <c r="L100" s="176"/>
      <c r="O100" s="190"/>
    </row>
    <row r="101" spans="1:15" x14ac:dyDescent="0.3">
      <c r="A101" s="52"/>
      <c r="B101" s="52" t="s">
        <v>190</v>
      </c>
      <c r="C101" s="53">
        <v>0</v>
      </c>
      <c r="D101" s="53"/>
      <c r="E101" s="53">
        <f t="shared" si="13"/>
        <v>0</v>
      </c>
      <c r="F101" s="53"/>
      <c r="G101" s="53">
        <f t="shared" si="6"/>
        <v>0</v>
      </c>
      <c r="H101" s="53"/>
      <c r="I101" s="69">
        <f t="shared" si="18"/>
        <v>0</v>
      </c>
      <c r="J101" s="69"/>
      <c r="K101" s="53"/>
      <c r="L101" s="176"/>
      <c r="O101" s="190"/>
    </row>
    <row r="102" spans="1:15" x14ac:dyDescent="0.3">
      <c r="A102" s="52"/>
      <c r="B102" s="52" t="s">
        <v>55</v>
      </c>
      <c r="C102" s="53">
        <v>0</v>
      </c>
      <c r="D102" s="53"/>
      <c r="E102" s="53">
        <f t="shared" si="13"/>
        <v>0</v>
      </c>
      <c r="F102" s="53"/>
      <c r="G102" s="53">
        <f t="shared" si="6"/>
        <v>0</v>
      </c>
      <c r="H102" s="53"/>
      <c r="I102" s="69">
        <f t="shared" si="18"/>
        <v>0</v>
      </c>
      <c r="J102" s="69"/>
      <c r="K102" s="53"/>
      <c r="L102" s="176"/>
      <c r="O102" s="190"/>
    </row>
    <row r="103" spans="1:15" x14ac:dyDescent="0.3">
      <c r="A103" s="52"/>
      <c r="B103" s="52" t="s">
        <v>177</v>
      </c>
      <c r="C103" s="53">
        <v>0</v>
      </c>
      <c r="D103" s="53"/>
      <c r="E103" s="53">
        <f t="shared" si="13"/>
        <v>0</v>
      </c>
      <c r="F103" s="53"/>
      <c r="G103" s="53">
        <f t="shared" si="6"/>
        <v>0</v>
      </c>
      <c r="H103" s="53"/>
      <c r="I103" s="69">
        <f t="shared" si="18"/>
        <v>0</v>
      </c>
      <c r="J103" s="69"/>
      <c r="K103" s="53"/>
      <c r="L103" s="176"/>
      <c r="O103" s="190"/>
    </row>
    <row r="104" spans="1:15" ht="13.5" thickBot="1" x14ac:dyDescent="0.35">
      <c r="A104" s="55"/>
      <c r="B104" s="55"/>
      <c r="C104" s="69"/>
      <c r="D104" s="69"/>
      <c r="E104" s="53">
        <f t="shared" si="13"/>
        <v>0</v>
      </c>
      <c r="F104" s="69"/>
      <c r="G104" s="53">
        <f t="shared" si="6"/>
        <v>0</v>
      </c>
      <c r="H104" s="69"/>
      <c r="I104" s="69">
        <f t="shared" si="18"/>
        <v>0</v>
      </c>
      <c r="J104" s="69"/>
      <c r="K104" s="69"/>
      <c r="L104" s="186"/>
      <c r="O104" s="190"/>
    </row>
    <row r="105" spans="1:15" ht="13.5" thickBot="1" x14ac:dyDescent="0.35">
      <c r="A105" s="57" t="s">
        <v>201</v>
      </c>
      <c r="B105" s="57"/>
      <c r="C105" s="95">
        <f>SUM(C95:C104)</f>
        <v>0</v>
      </c>
      <c r="D105" s="95"/>
      <c r="E105" s="95">
        <f t="shared" ref="E105:G105" si="19">SUM(E95:E104)</f>
        <v>0</v>
      </c>
      <c r="F105" s="95">
        <f t="shared" si="19"/>
        <v>0</v>
      </c>
      <c r="G105" s="95">
        <f t="shared" si="19"/>
        <v>0</v>
      </c>
      <c r="H105" s="95"/>
      <c r="I105" s="95"/>
      <c r="J105" s="95"/>
      <c r="K105" s="95"/>
      <c r="L105" s="218"/>
      <c r="O105" s="190"/>
    </row>
    <row r="106" spans="1:15" ht="14" thickTop="1" thickBot="1" x14ac:dyDescent="0.35">
      <c r="A106" s="111"/>
      <c r="B106" s="111"/>
      <c r="C106" s="94"/>
      <c r="D106" s="94"/>
      <c r="E106" s="53">
        <f t="shared" si="13"/>
        <v>0</v>
      </c>
      <c r="F106" s="79"/>
      <c r="G106" s="53">
        <f t="shared" si="6"/>
        <v>0</v>
      </c>
      <c r="H106" s="79"/>
      <c r="I106" s="79"/>
      <c r="J106" s="79"/>
      <c r="K106" s="94"/>
      <c r="L106" s="199"/>
    </row>
    <row r="107" spans="1:15" ht="13.5" thickBot="1" x14ac:dyDescent="0.35">
      <c r="A107" s="70" t="s">
        <v>726</v>
      </c>
      <c r="B107" s="70"/>
      <c r="C107" s="72">
        <f>C105+C92</f>
        <v>2500000</v>
      </c>
      <c r="D107" s="72">
        <f t="shared" ref="D107:L107" si="20">D105+D92</f>
        <v>0</v>
      </c>
      <c r="E107" s="72">
        <f t="shared" si="20"/>
        <v>2500000</v>
      </c>
      <c r="F107" s="72">
        <f t="shared" si="20"/>
        <v>0</v>
      </c>
      <c r="G107" s="72">
        <f t="shared" si="20"/>
        <v>2500000</v>
      </c>
      <c r="H107" s="72">
        <f t="shared" si="20"/>
        <v>-170000</v>
      </c>
      <c r="I107" s="72">
        <f t="shared" si="20"/>
        <v>2330000</v>
      </c>
      <c r="J107" s="72">
        <f t="shared" si="20"/>
        <v>3390000</v>
      </c>
      <c r="K107" s="72">
        <f t="shared" si="20"/>
        <v>3532380</v>
      </c>
      <c r="L107" s="72">
        <f t="shared" si="20"/>
        <v>3687804.7200000007</v>
      </c>
      <c r="M107" s="180"/>
      <c r="N107" s="193"/>
      <c r="O107" s="193"/>
    </row>
    <row r="108" spans="1:15" ht="13.5" thickTop="1" x14ac:dyDescent="0.3">
      <c r="A108" s="60"/>
      <c r="B108" s="60"/>
      <c r="C108" s="62"/>
      <c r="D108" s="62"/>
      <c r="E108" s="53">
        <f t="shared" si="13"/>
        <v>0</v>
      </c>
      <c r="F108" s="62"/>
      <c r="G108" s="53">
        <f t="shared" si="6"/>
        <v>0</v>
      </c>
      <c r="H108" s="62"/>
      <c r="I108" s="62"/>
      <c r="J108" s="62"/>
      <c r="K108" s="62"/>
      <c r="L108" s="184"/>
    </row>
    <row r="109" spans="1:15" x14ac:dyDescent="0.3">
      <c r="A109" s="52"/>
      <c r="B109" s="52"/>
      <c r="C109" s="53"/>
      <c r="D109" s="53"/>
      <c r="E109" s="53">
        <f t="shared" si="13"/>
        <v>0</v>
      </c>
      <c r="F109" s="53"/>
      <c r="G109" s="53">
        <f t="shared" si="6"/>
        <v>0</v>
      </c>
      <c r="H109" s="53"/>
      <c r="I109" s="53"/>
      <c r="J109" s="53"/>
      <c r="K109" s="53"/>
      <c r="L109" s="176"/>
    </row>
    <row r="110" spans="1:15" x14ac:dyDescent="0.3">
      <c r="A110" s="51" t="s">
        <v>725</v>
      </c>
      <c r="B110" s="52"/>
      <c r="C110" s="53"/>
      <c r="D110" s="53"/>
      <c r="E110" s="53">
        <f t="shared" si="13"/>
        <v>0</v>
      </c>
      <c r="F110" s="53"/>
      <c r="G110" s="53">
        <f t="shared" si="6"/>
        <v>0</v>
      </c>
      <c r="H110" s="53"/>
      <c r="I110" s="53"/>
      <c r="J110" s="53"/>
      <c r="K110" s="53"/>
      <c r="L110" s="176"/>
    </row>
    <row r="111" spans="1:15" x14ac:dyDescent="0.3">
      <c r="A111" s="52"/>
      <c r="B111" s="52"/>
      <c r="C111" s="53"/>
      <c r="D111" s="53"/>
      <c r="E111" s="53">
        <f t="shared" si="13"/>
        <v>0</v>
      </c>
      <c r="F111" s="53"/>
      <c r="G111" s="53">
        <f t="shared" si="6"/>
        <v>0</v>
      </c>
      <c r="H111" s="53"/>
      <c r="I111" s="53"/>
      <c r="J111" s="53"/>
      <c r="K111" s="53"/>
      <c r="L111" s="176"/>
    </row>
    <row r="112" spans="1:15" x14ac:dyDescent="0.3">
      <c r="A112" s="51" t="s">
        <v>458</v>
      </c>
      <c r="B112" s="52"/>
      <c r="C112" s="53"/>
      <c r="D112" s="53"/>
      <c r="E112" s="53">
        <f t="shared" si="13"/>
        <v>0</v>
      </c>
      <c r="F112" s="53"/>
      <c r="G112" s="53">
        <f t="shared" si="6"/>
        <v>0</v>
      </c>
      <c r="H112" s="53"/>
      <c r="I112" s="53"/>
      <c r="J112" s="53"/>
      <c r="K112" s="53"/>
      <c r="L112" s="176"/>
    </row>
    <row r="113" spans="1:15" x14ac:dyDescent="0.3">
      <c r="A113" s="52"/>
      <c r="B113" s="52"/>
      <c r="C113" s="53"/>
      <c r="D113" s="53"/>
      <c r="E113" s="53">
        <f t="shared" si="13"/>
        <v>0</v>
      </c>
      <c r="F113" s="53"/>
      <c r="G113" s="53">
        <f t="shared" si="6"/>
        <v>0</v>
      </c>
      <c r="H113" s="53"/>
      <c r="I113" s="53"/>
      <c r="J113" s="53"/>
      <c r="K113" s="53"/>
      <c r="L113" s="176"/>
    </row>
    <row r="114" spans="1:15" x14ac:dyDescent="0.3">
      <c r="A114" s="52" t="s">
        <v>208</v>
      </c>
      <c r="B114" s="52" t="s">
        <v>209</v>
      </c>
      <c r="C114" s="53">
        <v>550000</v>
      </c>
      <c r="D114" s="53"/>
      <c r="E114" s="53">
        <f t="shared" si="13"/>
        <v>550000</v>
      </c>
      <c r="F114" s="53"/>
      <c r="G114" s="53">
        <f t="shared" si="6"/>
        <v>550000</v>
      </c>
      <c r="H114" s="53">
        <v>61045</v>
      </c>
      <c r="I114" s="69">
        <f t="shared" ref="I114:I151" si="21">G114+H114</f>
        <v>611045</v>
      </c>
      <c r="J114" s="69">
        <v>600000</v>
      </c>
      <c r="K114" s="53">
        <f t="shared" ref="K114:K151" si="22">J114*104.2%</f>
        <v>625200</v>
      </c>
      <c r="L114" s="176">
        <f t="shared" ref="L114:L151" si="23">K114*104.4%</f>
        <v>652708.80000000005</v>
      </c>
      <c r="O114" s="190"/>
    </row>
    <row r="115" spans="1:15" x14ac:dyDescent="0.3">
      <c r="A115" s="52"/>
      <c r="B115" s="52"/>
      <c r="C115" s="53"/>
      <c r="D115" s="53"/>
      <c r="E115" s="53">
        <f t="shared" si="13"/>
        <v>0</v>
      </c>
      <c r="F115" s="53"/>
      <c r="G115" s="53">
        <f t="shared" ref="G115:G180" si="24">E115+F115</f>
        <v>0</v>
      </c>
      <c r="H115" s="53"/>
      <c r="I115" s="69">
        <f t="shared" si="21"/>
        <v>0</v>
      </c>
      <c r="J115" s="69">
        <v>0</v>
      </c>
      <c r="K115" s="53">
        <f t="shared" si="22"/>
        <v>0</v>
      </c>
      <c r="L115" s="176">
        <f t="shared" si="23"/>
        <v>0</v>
      </c>
      <c r="O115" s="190"/>
    </row>
    <row r="116" spans="1:15" x14ac:dyDescent="0.3">
      <c r="A116" s="52"/>
      <c r="B116" s="51" t="s">
        <v>472</v>
      </c>
      <c r="C116" s="53"/>
      <c r="D116" s="53"/>
      <c r="E116" s="53">
        <f t="shared" si="13"/>
        <v>0</v>
      </c>
      <c r="F116" s="53"/>
      <c r="G116" s="53">
        <f t="shared" si="24"/>
        <v>0</v>
      </c>
      <c r="H116" s="53"/>
      <c r="I116" s="69">
        <f t="shared" si="21"/>
        <v>0</v>
      </c>
      <c r="J116" s="69">
        <v>0</v>
      </c>
      <c r="K116" s="53">
        <f t="shared" si="22"/>
        <v>0</v>
      </c>
      <c r="L116" s="176">
        <f t="shared" si="23"/>
        <v>0</v>
      </c>
      <c r="O116" s="190"/>
    </row>
    <row r="117" spans="1:15" x14ac:dyDescent="0.3">
      <c r="A117" s="52" t="s">
        <v>613</v>
      </c>
      <c r="B117" s="52" t="s">
        <v>491</v>
      </c>
      <c r="C117" s="53">
        <v>100000</v>
      </c>
      <c r="D117" s="53"/>
      <c r="E117" s="53">
        <f t="shared" si="13"/>
        <v>100000</v>
      </c>
      <c r="F117" s="53"/>
      <c r="G117" s="53">
        <f t="shared" si="24"/>
        <v>100000</v>
      </c>
      <c r="H117" s="53"/>
      <c r="I117" s="69">
        <f t="shared" si="21"/>
        <v>100000</v>
      </c>
      <c r="J117" s="69">
        <v>150000</v>
      </c>
      <c r="K117" s="53">
        <f t="shared" si="22"/>
        <v>156300</v>
      </c>
      <c r="L117" s="176">
        <f t="shared" si="23"/>
        <v>163177.20000000001</v>
      </c>
      <c r="M117" s="179">
        <v>150000</v>
      </c>
      <c r="N117" s="190">
        <v>156300</v>
      </c>
      <c r="O117" s="190">
        <v>163177.20000000001</v>
      </c>
    </row>
    <row r="118" spans="1:15" x14ac:dyDescent="0.3">
      <c r="A118" s="52" t="s">
        <v>613</v>
      </c>
      <c r="B118" s="52" t="s">
        <v>510</v>
      </c>
      <c r="C118" s="53">
        <v>270000</v>
      </c>
      <c r="D118" s="53"/>
      <c r="E118" s="53">
        <f t="shared" si="13"/>
        <v>270000</v>
      </c>
      <c r="F118" s="53"/>
      <c r="G118" s="53">
        <f t="shared" si="24"/>
        <v>270000</v>
      </c>
      <c r="H118" s="53">
        <v>-153000</v>
      </c>
      <c r="I118" s="69">
        <f t="shared" si="21"/>
        <v>117000</v>
      </c>
      <c r="J118" s="69">
        <v>120000</v>
      </c>
      <c r="K118" s="53">
        <f t="shared" si="22"/>
        <v>125040</v>
      </c>
      <c r="L118" s="176">
        <f t="shared" si="23"/>
        <v>130541.76000000001</v>
      </c>
      <c r="M118" s="179">
        <v>120000</v>
      </c>
      <c r="N118" s="190">
        <v>125040</v>
      </c>
      <c r="O118" s="190">
        <v>130541.76000000001</v>
      </c>
    </row>
    <row r="119" spans="1:15" x14ac:dyDescent="0.3">
      <c r="A119" s="52" t="s">
        <v>613</v>
      </c>
      <c r="B119" s="52" t="s">
        <v>511</v>
      </c>
      <c r="C119" s="53">
        <v>100000</v>
      </c>
      <c r="D119" s="53"/>
      <c r="E119" s="53">
        <f t="shared" si="13"/>
        <v>100000</v>
      </c>
      <c r="F119" s="53"/>
      <c r="G119" s="53">
        <f t="shared" si="24"/>
        <v>100000</v>
      </c>
      <c r="H119" s="53">
        <f>-50000-50000</f>
        <v>-100000</v>
      </c>
      <c r="I119" s="69">
        <f t="shared" si="21"/>
        <v>0</v>
      </c>
      <c r="J119" s="69">
        <v>100000</v>
      </c>
      <c r="K119" s="53">
        <f t="shared" si="22"/>
        <v>104200</v>
      </c>
      <c r="L119" s="176">
        <f t="shared" si="23"/>
        <v>108784.8</v>
      </c>
      <c r="M119" s="179">
        <v>100000</v>
      </c>
      <c r="N119" s="190">
        <v>104200</v>
      </c>
      <c r="O119" s="190">
        <v>108784.8</v>
      </c>
    </row>
    <row r="120" spans="1:15" x14ac:dyDescent="0.3">
      <c r="A120" s="52"/>
      <c r="B120" s="52"/>
      <c r="C120" s="53"/>
      <c r="D120" s="53"/>
      <c r="E120" s="53">
        <f t="shared" si="13"/>
        <v>0</v>
      </c>
      <c r="F120" s="53"/>
      <c r="G120" s="53">
        <f t="shared" si="24"/>
        <v>0</v>
      </c>
      <c r="H120" s="53"/>
      <c r="I120" s="69">
        <f t="shared" si="21"/>
        <v>0</v>
      </c>
      <c r="J120" s="69">
        <v>0</v>
      </c>
      <c r="K120" s="53">
        <f t="shared" si="22"/>
        <v>0</v>
      </c>
      <c r="L120" s="176">
        <f t="shared" si="23"/>
        <v>0</v>
      </c>
      <c r="M120" s="179">
        <f>SUM(M117:M119)</f>
        <v>370000</v>
      </c>
      <c r="N120" s="179">
        <f t="shared" ref="N120:O120" si="25">SUM(N117:N119)</f>
        <v>385540</v>
      </c>
      <c r="O120" s="179">
        <f t="shared" si="25"/>
        <v>402503.76</v>
      </c>
    </row>
    <row r="121" spans="1:15" x14ac:dyDescent="0.3">
      <c r="A121" s="52"/>
      <c r="B121" s="51" t="s">
        <v>492</v>
      </c>
      <c r="C121" s="53"/>
      <c r="D121" s="53"/>
      <c r="E121" s="53">
        <f t="shared" si="13"/>
        <v>0</v>
      </c>
      <c r="F121" s="53"/>
      <c r="G121" s="53">
        <f t="shared" si="24"/>
        <v>0</v>
      </c>
      <c r="H121" s="53"/>
      <c r="I121" s="69">
        <f t="shared" si="21"/>
        <v>0</v>
      </c>
      <c r="J121" s="69">
        <v>0</v>
      </c>
      <c r="K121" s="53">
        <f t="shared" si="22"/>
        <v>0</v>
      </c>
      <c r="L121" s="176">
        <f t="shared" si="23"/>
        <v>0</v>
      </c>
      <c r="O121" s="190"/>
    </row>
    <row r="122" spans="1:15" x14ac:dyDescent="0.3">
      <c r="A122" s="52" t="s">
        <v>518</v>
      </c>
      <c r="B122" s="52" t="s">
        <v>512</v>
      </c>
      <c r="C122" s="53">
        <v>200000</v>
      </c>
      <c r="D122" s="53"/>
      <c r="E122" s="53">
        <f t="shared" si="13"/>
        <v>200000</v>
      </c>
      <c r="F122" s="53"/>
      <c r="G122" s="53">
        <f t="shared" si="24"/>
        <v>200000</v>
      </c>
      <c r="H122" s="53">
        <v>-50000</v>
      </c>
      <c r="I122" s="69">
        <f t="shared" si="21"/>
        <v>150000</v>
      </c>
      <c r="J122" s="69">
        <v>100000</v>
      </c>
      <c r="K122" s="53">
        <f t="shared" si="22"/>
        <v>104200</v>
      </c>
      <c r="L122" s="176">
        <f t="shared" si="23"/>
        <v>108784.8</v>
      </c>
      <c r="O122" s="190"/>
    </row>
    <row r="123" spans="1:15" x14ac:dyDescent="0.3">
      <c r="A123" s="52" t="s">
        <v>517</v>
      </c>
      <c r="B123" s="52" t="s">
        <v>513</v>
      </c>
      <c r="C123" s="53">
        <v>0</v>
      </c>
      <c r="D123" s="53"/>
      <c r="E123" s="53">
        <f t="shared" si="13"/>
        <v>0</v>
      </c>
      <c r="F123" s="53"/>
      <c r="G123" s="53">
        <f t="shared" si="24"/>
        <v>0</v>
      </c>
      <c r="H123" s="53"/>
      <c r="I123" s="69">
        <f t="shared" si="21"/>
        <v>0</v>
      </c>
      <c r="J123" s="69">
        <v>80000</v>
      </c>
      <c r="K123" s="53">
        <f t="shared" si="22"/>
        <v>83360</v>
      </c>
      <c r="L123" s="176">
        <f t="shared" si="23"/>
        <v>87027.839999999997</v>
      </c>
      <c r="O123" s="190"/>
    </row>
    <row r="124" spans="1:15" x14ac:dyDescent="0.3">
      <c r="A124" s="52" t="s">
        <v>516</v>
      </c>
      <c r="B124" s="52" t="s">
        <v>514</v>
      </c>
      <c r="C124" s="53">
        <v>0</v>
      </c>
      <c r="D124" s="53"/>
      <c r="E124" s="53">
        <f t="shared" si="13"/>
        <v>0</v>
      </c>
      <c r="F124" s="53"/>
      <c r="G124" s="53">
        <f t="shared" si="24"/>
        <v>0</v>
      </c>
      <c r="H124" s="53"/>
      <c r="I124" s="69">
        <f t="shared" si="21"/>
        <v>0</v>
      </c>
      <c r="J124" s="69">
        <v>80000</v>
      </c>
      <c r="K124" s="53">
        <f t="shared" si="22"/>
        <v>83360</v>
      </c>
      <c r="L124" s="176">
        <f t="shared" si="23"/>
        <v>87027.839999999997</v>
      </c>
      <c r="O124" s="190"/>
    </row>
    <row r="125" spans="1:15" x14ac:dyDescent="0.3">
      <c r="A125" s="52" t="s">
        <v>519</v>
      </c>
      <c r="B125" s="52" t="s">
        <v>515</v>
      </c>
      <c r="C125" s="53">
        <v>150000</v>
      </c>
      <c r="D125" s="53"/>
      <c r="E125" s="53">
        <f t="shared" si="13"/>
        <v>150000</v>
      </c>
      <c r="F125" s="53"/>
      <c r="G125" s="53">
        <f t="shared" si="24"/>
        <v>150000</v>
      </c>
      <c r="H125" s="53"/>
      <c r="I125" s="69">
        <f t="shared" si="21"/>
        <v>150000</v>
      </c>
      <c r="J125" s="69">
        <v>100000</v>
      </c>
      <c r="K125" s="53">
        <f t="shared" si="22"/>
        <v>104200</v>
      </c>
      <c r="L125" s="176">
        <f t="shared" si="23"/>
        <v>108784.8</v>
      </c>
      <c r="O125" s="190"/>
    </row>
    <row r="126" spans="1:15" x14ac:dyDescent="0.3">
      <c r="A126" s="52"/>
      <c r="B126" s="52"/>
      <c r="C126" s="53"/>
      <c r="D126" s="53"/>
      <c r="E126" s="53">
        <f t="shared" si="13"/>
        <v>0</v>
      </c>
      <c r="F126" s="53"/>
      <c r="G126" s="53">
        <f t="shared" si="24"/>
        <v>0</v>
      </c>
      <c r="H126" s="53"/>
      <c r="I126" s="69">
        <f t="shared" si="21"/>
        <v>0</v>
      </c>
      <c r="J126" s="69">
        <v>0</v>
      </c>
      <c r="K126" s="53">
        <f t="shared" si="22"/>
        <v>0</v>
      </c>
      <c r="L126" s="176">
        <f t="shared" si="23"/>
        <v>0</v>
      </c>
      <c r="O126" s="190"/>
    </row>
    <row r="127" spans="1:15" x14ac:dyDescent="0.3">
      <c r="A127" s="52" t="s">
        <v>227</v>
      </c>
      <c r="B127" s="52" t="s">
        <v>228</v>
      </c>
      <c r="C127" s="53">
        <v>3600000</v>
      </c>
      <c r="D127" s="53"/>
      <c r="E127" s="53">
        <f t="shared" si="13"/>
        <v>3600000</v>
      </c>
      <c r="F127" s="53"/>
      <c r="G127" s="53">
        <f t="shared" si="24"/>
        <v>3600000</v>
      </c>
      <c r="H127" s="53">
        <v>-1100000</v>
      </c>
      <c r="I127" s="69">
        <f t="shared" si="21"/>
        <v>2500000</v>
      </c>
      <c r="J127" s="69">
        <v>3000000</v>
      </c>
      <c r="K127" s="53">
        <f t="shared" si="22"/>
        <v>3126000</v>
      </c>
      <c r="L127" s="176">
        <f t="shared" si="23"/>
        <v>3263544</v>
      </c>
      <c r="O127" s="190"/>
    </row>
    <row r="128" spans="1:15" x14ac:dyDescent="0.3">
      <c r="A128" s="52" t="s">
        <v>824</v>
      </c>
      <c r="B128" s="52" t="s">
        <v>825</v>
      </c>
      <c r="C128" s="53">
        <v>50000</v>
      </c>
      <c r="D128" s="53"/>
      <c r="E128" s="53">
        <f t="shared" si="13"/>
        <v>50000</v>
      </c>
      <c r="F128" s="53"/>
      <c r="G128" s="53">
        <f t="shared" si="24"/>
        <v>50000</v>
      </c>
      <c r="H128" s="53"/>
      <c r="I128" s="69">
        <f t="shared" si="21"/>
        <v>50000</v>
      </c>
      <c r="J128" s="69">
        <v>50000</v>
      </c>
      <c r="K128" s="53">
        <f t="shared" si="22"/>
        <v>52100</v>
      </c>
      <c r="L128" s="176">
        <f t="shared" si="23"/>
        <v>54392.4</v>
      </c>
      <c r="O128" s="190"/>
    </row>
    <row r="129" spans="1:20" x14ac:dyDescent="0.3">
      <c r="A129" s="52" t="s">
        <v>233</v>
      </c>
      <c r="B129" s="52" t="s">
        <v>493</v>
      </c>
      <c r="C129" s="53">
        <v>210000</v>
      </c>
      <c r="D129" s="53"/>
      <c r="E129" s="53">
        <f t="shared" si="13"/>
        <v>210000</v>
      </c>
      <c r="F129" s="53"/>
      <c r="G129" s="53">
        <f t="shared" si="24"/>
        <v>210000</v>
      </c>
      <c r="H129" s="53"/>
      <c r="I129" s="69">
        <f t="shared" si="21"/>
        <v>210000</v>
      </c>
      <c r="J129" s="69">
        <v>211000</v>
      </c>
      <c r="K129" s="53">
        <f t="shared" si="22"/>
        <v>219862</v>
      </c>
      <c r="L129" s="176">
        <f t="shared" si="23"/>
        <v>229535.92800000001</v>
      </c>
      <c r="O129" s="190"/>
    </row>
    <row r="130" spans="1:20" x14ac:dyDescent="0.3">
      <c r="A130" s="52" t="s">
        <v>229</v>
      </c>
      <c r="B130" s="52" t="s">
        <v>230</v>
      </c>
      <c r="C130" s="53">
        <v>50000</v>
      </c>
      <c r="D130" s="53"/>
      <c r="E130" s="53">
        <f t="shared" si="13"/>
        <v>50000</v>
      </c>
      <c r="F130" s="53"/>
      <c r="G130" s="53">
        <f t="shared" si="24"/>
        <v>50000</v>
      </c>
      <c r="H130" s="53">
        <v>-20000</v>
      </c>
      <c r="I130" s="69">
        <f t="shared" si="21"/>
        <v>30000</v>
      </c>
      <c r="J130" s="69">
        <v>50000</v>
      </c>
      <c r="K130" s="53">
        <f t="shared" si="22"/>
        <v>52100</v>
      </c>
      <c r="L130" s="176">
        <f t="shared" si="23"/>
        <v>54392.4</v>
      </c>
      <c r="O130" s="190"/>
    </row>
    <row r="131" spans="1:20" x14ac:dyDescent="0.3">
      <c r="A131" s="52"/>
      <c r="B131" s="52"/>
      <c r="C131" s="53"/>
      <c r="D131" s="53"/>
      <c r="E131" s="53">
        <f t="shared" si="13"/>
        <v>0</v>
      </c>
      <c r="F131" s="53"/>
      <c r="G131" s="53">
        <f t="shared" si="24"/>
        <v>0</v>
      </c>
      <c r="H131" s="53"/>
      <c r="I131" s="69">
        <f t="shared" si="21"/>
        <v>0</v>
      </c>
      <c r="J131" s="69">
        <v>0</v>
      </c>
      <c r="K131" s="53">
        <f t="shared" si="22"/>
        <v>0</v>
      </c>
      <c r="L131" s="176">
        <f t="shared" si="23"/>
        <v>0</v>
      </c>
      <c r="O131" s="190"/>
    </row>
    <row r="132" spans="1:20" x14ac:dyDescent="0.3">
      <c r="A132" s="52"/>
      <c r="B132" s="51" t="s">
        <v>461</v>
      </c>
      <c r="C132" s="53"/>
      <c r="D132" s="53"/>
      <c r="E132" s="53">
        <f t="shared" si="13"/>
        <v>0</v>
      </c>
      <c r="F132" s="53"/>
      <c r="G132" s="53">
        <f t="shared" si="24"/>
        <v>0</v>
      </c>
      <c r="H132" s="53"/>
      <c r="I132" s="69">
        <f t="shared" si="21"/>
        <v>0</v>
      </c>
      <c r="J132" s="69">
        <v>0</v>
      </c>
      <c r="K132" s="53">
        <f t="shared" si="22"/>
        <v>0</v>
      </c>
      <c r="L132" s="176">
        <f t="shared" si="23"/>
        <v>0</v>
      </c>
      <c r="O132" s="190"/>
    </row>
    <row r="133" spans="1:20" x14ac:dyDescent="0.3">
      <c r="A133" s="52" t="s">
        <v>1146</v>
      </c>
      <c r="B133" s="52" t="s">
        <v>727</v>
      </c>
      <c r="C133" s="53">
        <v>70000</v>
      </c>
      <c r="D133" s="53"/>
      <c r="E133" s="53">
        <f t="shared" si="13"/>
        <v>70000</v>
      </c>
      <c r="F133" s="53"/>
      <c r="G133" s="53">
        <f t="shared" si="24"/>
        <v>70000</v>
      </c>
      <c r="H133" s="53">
        <v>-70000</v>
      </c>
      <c r="I133" s="69">
        <f t="shared" si="21"/>
        <v>0</v>
      </c>
      <c r="J133" s="69"/>
      <c r="K133" s="53">
        <f t="shared" si="22"/>
        <v>0</v>
      </c>
      <c r="L133" s="176">
        <f t="shared" si="23"/>
        <v>0</v>
      </c>
      <c r="O133" s="190"/>
    </row>
    <row r="134" spans="1:20" x14ac:dyDescent="0.3">
      <c r="A134" s="52" t="s">
        <v>1147</v>
      </c>
      <c r="B134" s="52" t="s">
        <v>728</v>
      </c>
      <c r="C134" s="53">
        <v>50000</v>
      </c>
      <c r="D134" s="53"/>
      <c r="E134" s="53">
        <f t="shared" si="13"/>
        <v>50000</v>
      </c>
      <c r="F134" s="53"/>
      <c r="G134" s="53">
        <f t="shared" si="24"/>
        <v>50000</v>
      </c>
      <c r="H134" s="53"/>
      <c r="I134" s="69">
        <f t="shared" si="21"/>
        <v>50000</v>
      </c>
      <c r="J134" s="69"/>
      <c r="K134" s="53">
        <f t="shared" si="22"/>
        <v>0</v>
      </c>
      <c r="L134" s="176">
        <f t="shared" si="23"/>
        <v>0</v>
      </c>
      <c r="O134" s="190"/>
    </row>
    <row r="135" spans="1:20" x14ac:dyDescent="0.3">
      <c r="A135" s="52" t="s">
        <v>524</v>
      </c>
      <c r="B135" s="52" t="s">
        <v>520</v>
      </c>
      <c r="C135" s="53">
        <v>150000</v>
      </c>
      <c r="D135" s="53"/>
      <c r="E135" s="53">
        <f t="shared" si="13"/>
        <v>150000</v>
      </c>
      <c r="F135" s="53"/>
      <c r="G135" s="53">
        <f t="shared" si="24"/>
        <v>150000</v>
      </c>
      <c r="H135" s="53">
        <v>-100000</v>
      </c>
      <c r="I135" s="69">
        <f t="shared" si="21"/>
        <v>50000</v>
      </c>
      <c r="J135" s="69">
        <v>100000</v>
      </c>
      <c r="K135" s="53">
        <f t="shared" si="22"/>
        <v>104200</v>
      </c>
      <c r="L135" s="176">
        <f t="shared" si="23"/>
        <v>108784.8</v>
      </c>
      <c r="O135" s="190"/>
    </row>
    <row r="136" spans="1:20" x14ac:dyDescent="0.3">
      <c r="A136" s="56"/>
      <c r="B136" s="56"/>
      <c r="C136" s="69"/>
      <c r="D136" s="69"/>
      <c r="E136" s="53">
        <f t="shared" si="13"/>
        <v>0</v>
      </c>
      <c r="F136" s="53"/>
      <c r="G136" s="53">
        <f t="shared" si="24"/>
        <v>0</v>
      </c>
      <c r="H136" s="53"/>
      <c r="I136" s="69">
        <f t="shared" si="21"/>
        <v>0</v>
      </c>
      <c r="J136" s="69">
        <v>0</v>
      </c>
      <c r="K136" s="53">
        <f t="shared" si="22"/>
        <v>0</v>
      </c>
      <c r="L136" s="176">
        <f t="shared" si="23"/>
        <v>0</v>
      </c>
      <c r="O136" s="190"/>
    </row>
    <row r="137" spans="1:20" x14ac:dyDescent="0.3">
      <c r="A137" s="56" t="s">
        <v>218</v>
      </c>
      <c r="B137" s="56" t="s">
        <v>219</v>
      </c>
      <c r="C137" s="69">
        <v>980000</v>
      </c>
      <c r="D137" s="69"/>
      <c r="E137" s="53">
        <f t="shared" si="13"/>
        <v>980000</v>
      </c>
      <c r="F137" s="53"/>
      <c r="G137" s="53">
        <f t="shared" si="24"/>
        <v>980000</v>
      </c>
      <c r="H137" s="53">
        <f>50476-101000</f>
        <v>-50524</v>
      </c>
      <c r="I137" s="69">
        <f t="shared" si="21"/>
        <v>929476</v>
      </c>
      <c r="J137" s="69">
        <v>1100000</v>
      </c>
      <c r="K137" s="53">
        <f t="shared" si="22"/>
        <v>1146200</v>
      </c>
      <c r="L137" s="176">
        <f t="shared" si="23"/>
        <v>1196632.8</v>
      </c>
      <c r="O137" s="190"/>
      <c r="R137" s="93"/>
    </row>
    <row r="138" spans="1:20" x14ac:dyDescent="0.3">
      <c r="A138" s="56"/>
      <c r="B138" s="56"/>
      <c r="C138" s="69"/>
      <c r="D138" s="69"/>
      <c r="E138" s="53">
        <f t="shared" ref="E138:E194" si="26">C138+D138</f>
        <v>0</v>
      </c>
      <c r="F138" s="53"/>
      <c r="G138" s="53">
        <f t="shared" si="24"/>
        <v>0</v>
      </c>
      <c r="H138" s="53"/>
      <c r="I138" s="69">
        <f t="shared" si="21"/>
        <v>0</v>
      </c>
      <c r="J138" s="69">
        <v>0</v>
      </c>
      <c r="K138" s="53">
        <f t="shared" si="22"/>
        <v>0</v>
      </c>
      <c r="L138" s="176">
        <f t="shared" si="23"/>
        <v>0</v>
      </c>
      <c r="O138" s="190"/>
      <c r="Q138" s="64">
        <f>6*4000</f>
        <v>24000</v>
      </c>
    </row>
    <row r="139" spans="1:20" x14ac:dyDescent="0.3">
      <c r="A139" s="56"/>
      <c r="B139" s="55" t="s">
        <v>476</v>
      </c>
      <c r="C139" s="69"/>
      <c r="D139" s="69"/>
      <c r="E139" s="53">
        <f t="shared" si="26"/>
        <v>0</v>
      </c>
      <c r="F139" s="53"/>
      <c r="G139" s="53">
        <f t="shared" si="24"/>
        <v>0</v>
      </c>
      <c r="H139" s="53"/>
      <c r="I139" s="69">
        <f t="shared" si="21"/>
        <v>0</v>
      </c>
      <c r="J139" s="69">
        <v>0</v>
      </c>
      <c r="K139" s="53">
        <f t="shared" si="22"/>
        <v>0</v>
      </c>
      <c r="L139" s="176">
        <f t="shared" si="23"/>
        <v>0</v>
      </c>
      <c r="O139" s="190"/>
    </row>
    <row r="140" spans="1:20" x14ac:dyDescent="0.3">
      <c r="A140" s="56" t="s">
        <v>216</v>
      </c>
      <c r="B140" s="56" t="s">
        <v>217</v>
      </c>
      <c r="C140" s="69">
        <v>500000</v>
      </c>
      <c r="D140" s="69"/>
      <c r="E140" s="53">
        <f t="shared" si="26"/>
        <v>500000</v>
      </c>
      <c r="F140" s="53"/>
      <c r="G140" s="53">
        <f t="shared" si="24"/>
        <v>500000</v>
      </c>
      <c r="H140" s="53">
        <f>-100000-158000</f>
        <v>-258000</v>
      </c>
      <c r="I140" s="69">
        <f t="shared" si="21"/>
        <v>242000</v>
      </c>
      <c r="J140" s="69">
        <v>300000</v>
      </c>
      <c r="K140" s="53">
        <f t="shared" si="22"/>
        <v>312600</v>
      </c>
      <c r="L140" s="176">
        <f t="shared" si="23"/>
        <v>326354.40000000002</v>
      </c>
      <c r="O140" s="190"/>
      <c r="T140" s="93"/>
    </row>
    <row r="141" spans="1:20" x14ac:dyDescent="0.3">
      <c r="A141" s="56" t="s">
        <v>214</v>
      </c>
      <c r="B141" s="56" t="s">
        <v>215</v>
      </c>
      <c r="C141" s="69">
        <v>900000</v>
      </c>
      <c r="D141" s="69"/>
      <c r="E141" s="53">
        <f t="shared" si="26"/>
        <v>900000</v>
      </c>
      <c r="F141" s="53"/>
      <c r="G141" s="53">
        <f t="shared" si="24"/>
        <v>900000</v>
      </c>
      <c r="H141" s="53">
        <v>999310.48</v>
      </c>
      <c r="I141" s="69">
        <f t="shared" si="21"/>
        <v>1899310.48</v>
      </c>
      <c r="J141" s="69">
        <v>1000000</v>
      </c>
      <c r="K141" s="53">
        <f t="shared" si="22"/>
        <v>1042000</v>
      </c>
      <c r="L141" s="176">
        <f t="shared" si="23"/>
        <v>1087848</v>
      </c>
      <c r="O141" s="190"/>
      <c r="Q141" s="64">
        <f>430000*5</f>
        <v>2150000</v>
      </c>
      <c r="R141" s="93"/>
    </row>
    <row r="142" spans="1:20" x14ac:dyDescent="0.3">
      <c r="A142" s="56"/>
      <c r="B142" s="56"/>
      <c r="C142" s="69"/>
      <c r="D142" s="69"/>
      <c r="E142" s="53">
        <f t="shared" si="26"/>
        <v>0</v>
      </c>
      <c r="F142" s="53"/>
      <c r="G142" s="53">
        <f t="shared" si="24"/>
        <v>0</v>
      </c>
      <c r="H142" s="53"/>
      <c r="I142" s="69">
        <f t="shared" si="21"/>
        <v>0</v>
      </c>
      <c r="J142" s="69">
        <v>0</v>
      </c>
      <c r="K142" s="53">
        <f t="shared" si="22"/>
        <v>0</v>
      </c>
      <c r="L142" s="176">
        <f t="shared" si="23"/>
        <v>0</v>
      </c>
      <c r="O142" s="190"/>
    </row>
    <row r="143" spans="1:20" ht="20.5" x14ac:dyDescent="0.45">
      <c r="A143" s="56" t="s">
        <v>1215</v>
      </c>
      <c r="B143" s="56" t="s">
        <v>1214</v>
      </c>
      <c r="C143" s="69">
        <v>5621200</v>
      </c>
      <c r="D143" s="69"/>
      <c r="E143" s="53">
        <f t="shared" si="26"/>
        <v>5621200</v>
      </c>
      <c r="F143" s="53"/>
      <c r="G143" s="53">
        <f t="shared" si="24"/>
        <v>5621200</v>
      </c>
      <c r="H143" s="53">
        <v>-518417.37000000011</v>
      </c>
      <c r="I143" s="69">
        <f t="shared" si="21"/>
        <v>5102782.63</v>
      </c>
      <c r="J143" s="69">
        <v>6000000</v>
      </c>
      <c r="K143" s="53">
        <f t="shared" si="22"/>
        <v>6252000</v>
      </c>
      <c r="L143" s="176">
        <f t="shared" si="23"/>
        <v>6527088</v>
      </c>
      <c r="O143" s="190"/>
      <c r="Q143" s="171">
        <f>O143/5</f>
        <v>0</v>
      </c>
      <c r="R143" s="93"/>
      <c r="S143" s="93">
        <f>Q141-O143</f>
        <v>2150000</v>
      </c>
    </row>
    <row r="144" spans="1:20" x14ac:dyDescent="0.3">
      <c r="A144" s="56" t="s">
        <v>231</v>
      </c>
      <c r="B144" s="56" t="s">
        <v>232</v>
      </c>
      <c r="C144" s="69">
        <v>600000</v>
      </c>
      <c r="D144" s="69"/>
      <c r="E144" s="53">
        <f t="shared" si="26"/>
        <v>600000</v>
      </c>
      <c r="F144" s="53"/>
      <c r="G144" s="53">
        <f t="shared" si="24"/>
        <v>600000</v>
      </c>
      <c r="H144" s="53">
        <v>-60233.5</v>
      </c>
      <c r="I144" s="69">
        <f t="shared" si="21"/>
        <v>539766.5</v>
      </c>
      <c r="J144" s="69">
        <v>600000</v>
      </c>
      <c r="K144" s="53">
        <f t="shared" si="22"/>
        <v>625200</v>
      </c>
      <c r="L144" s="176">
        <f t="shared" si="23"/>
        <v>652708.80000000005</v>
      </c>
      <c r="O144" s="190"/>
      <c r="P144" s="220"/>
    </row>
    <row r="145" spans="1:19" x14ac:dyDescent="0.3">
      <c r="A145" s="56" t="s">
        <v>1217</v>
      </c>
      <c r="B145" s="56" t="s">
        <v>1216</v>
      </c>
      <c r="C145" s="69">
        <v>1500000</v>
      </c>
      <c r="D145" s="69"/>
      <c r="E145" s="53">
        <f t="shared" si="26"/>
        <v>1500000</v>
      </c>
      <c r="F145" s="53"/>
      <c r="G145" s="53">
        <f t="shared" si="24"/>
        <v>1500000</v>
      </c>
      <c r="H145" s="53"/>
      <c r="I145" s="69">
        <f t="shared" si="21"/>
        <v>1500000</v>
      </c>
      <c r="J145" s="69">
        <v>1300000</v>
      </c>
      <c r="K145" s="53">
        <f t="shared" si="22"/>
        <v>1354600</v>
      </c>
      <c r="L145" s="176">
        <f t="shared" si="23"/>
        <v>1414202.4000000001</v>
      </c>
      <c r="O145" s="190"/>
      <c r="S145" s="93"/>
    </row>
    <row r="146" spans="1:19" x14ac:dyDescent="0.3">
      <c r="A146" s="56" t="s">
        <v>1218</v>
      </c>
      <c r="B146" s="56" t="s">
        <v>823</v>
      </c>
      <c r="C146" s="69">
        <v>920000</v>
      </c>
      <c r="D146" s="69"/>
      <c r="E146" s="53">
        <f t="shared" si="26"/>
        <v>920000</v>
      </c>
      <c r="F146" s="53"/>
      <c r="G146" s="53">
        <f t="shared" si="24"/>
        <v>920000</v>
      </c>
      <c r="H146" s="53">
        <v>540555.65999999992</v>
      </c>
      <c r="I146" s="69">
        <f t="shared" si="21"/>
        <v>1460555.66</v>
      </c>
      <c r="J146" s="69">
        <v>1550000</v>
      </c>
      <c r="K146" s="53">
        <f t="shared" si="22"/>
        <v>1615100</v>
      </c>
      <c r="L146" s="176">
        <f t="shared" si="23"/>
        <v>1686164.4000000001</v>
      </c>
      <c r="O146" s="190"/>
    </row>
    <row r="147" spans="1:19" x14ac:dyDescent="0.3">
      <c r="A147" s="56" t="s">
        <v>224</v>
      </c>
      <c r="B147" s="56" t="s">
        <v>225</v>
      </c>
      <c r="C147" s="69">
        <v>100000</v>
      </c>
      <c r="D147" s="69"/>
      <c r="E147" s="53">
        <f t="shared" si="26"/>
        <v>100000</v>
      </c>
      <c r="F147" s="53"/>
      <c r="G147" s="53">
        <f t="shared" si="24"/>
        <v>100000</v>
      </c>
      <c r="H147" s="53"/>
      <c r="I147" s="69">
        <f t="shared" si="21"/>
        <v>100000</v>
      </c>
      <c r="J147" s="69">
        <v>120000</v>
      </c>
      <c r="K147" s="53">
        <f t="shared" si="22"/>
        <v>125040</v>
      </c>
      <c r="L147" s="176">
        <f t="shared" si="23"/>
        <v>130541.76000000001</v>
      </c>
      <c r="O147" s="190"/>
    </row>
    <row r="148" spans="1:19" x14ac:dyDescent="0.3">
      <c r="A148" s="56" t="s">
        <v>1272</v>
      </c>
      <c r="B148" s="56" t="s">
        <v>226</v>
      </c>
      <c r="C148" s="69">
        <v>350000</v>
      </c>
      <c r="D148" s="69"/>
      <c r="E148" s="53">
        <f t="shared" si="26"/>
        <v>350000</v>
      </c>
      <c r="F148" s="53"/>
      <c r="G148" s="53">
        <f t="shared" si="24"/>
        <v>350000</v>
      </c>
      <c r="H148" s="53">
        <v>-100000</v>
      </c>
      <c r="I148" s="69">
        <f t="shared" si="21"/>
        <v>250000</v>
      </c>
      <c r="J148" s="69">
        <v>260000</v>
      </c>
      <c r="K148" s="53">
        <f t="shared" si="22"/>
        <v>270920</v>
      </c>
      <c r="L148" s="176">
        <f t="shared" si="23"/>
        <v>282840.48000000004</v>
      </c>
      <c r="O148" s="190"/>
    </row>
    <row r="149" spans="1:19" x14ac:dyDescent="0.3">
      <c r="A149" s="56" t="s">
        <v>1329</v>
      </c>
      <c r="B149" s="56" t="s">
        <v>223</v>
      </c>
      <c r="C149" s="69"/>
      <c r="D149" s="69"/>
      <c r="E149" s="53"/>
      <c r="F149" s="69"/>
      <c r="G149" s="53"/>
      <c r="H149" s="69">
        <v>2850</v>
      </c>
      <c r="I149" s="69">
        <f t="shared" si="21"/>
        <v>2850</v>
      </c>
      <c r="J149" s="69">
        <v>5000</v>
      </c>
      <c r="K149" s="53">
        <f t="shared" si="22"/>
        <v>5210</v>
      </c>
      <c r="L149" s="176">
        <f t="shared" si="23"/>
        <v>5439.24</v>
      </c>
      <c r="O149" s="190"/>
    </row>
    <row r="150" spans="1:19" x14ac:dyDescent="0.3">
      <c r="A150" s="56" t="s">
        <v>1295</v>
      </c>
      <c r="B150" s="56" t="s">
        <v>1296</v>
      </c>
      <c r="C150" s="69"/>
      <c r="D150" s="69"/>
      <c r="E150" s="53"/>
      <c r="F150" s="69">
        <v>350000</v>
      </c>
      <c r="G150" s="53">
        <f t="shared" si="24"/>
        <v>350000</v>
      </c>
      <c r="H150" s="69"/>
      <c r="I150" s="69">
        <f t="shared" si="21"/>
        <v>350000</v>
      </c>
      <c r="J150" s="69">
        <v>200000</v>
      </c>
      <c r="K150" s="53">
        <f t="shared" si="22"/>
        <v>208400</v>
      </c>
      <c r="L150" s="176">
        <f t="shared" si="23"/>
        <v>217569.6</v>
      </c>
      <c r="O150" s="190"/>
    </row>
    <row r="151" spans="1:19" ht="13.5" thickBot="1" x14ac:dyDescent="0.35">
      <c r="A151" s="56" t="s">
        <v>1297</v>
      </c>
      <c r="B151" s="56" t="s">
        <v>1298</v>
      </c>
      <c r="C151" s="69"/>
      <c r="D151" s="69"/>
      <c r="E151" s="53"/>
      <c r="F151" s="69">
        <v>500000</v>
      </c>
      <c r="G151" s="53">
        <f t="shared" si="24"/>
        <v>500000</v>
      </c>
      <c r="H151" s="69"/>
      <c r="I151" s="69">
        <f t="shared" si="21"/>
        <v>500000</v>
      </c>
      <c r="J151" s="69">
        <v>350000</v>
      </c>
      <c r="K151" s="53">
        <f t="shared" si="22"/>
        <v>364700</v>
      </c>
      <c r="L151" s="176">
        <f t="shared" si="23"/>
        <v>380746.8</v>
      </c>
      <c r="O151" s="190"/>
    </row>
    <row r="152" spans="1:19" ht="13.5" thickBot="1" x14ac:dyDescent="0.35">
      <c r="A152" s="57" t="s">
        <v>674</v>
      </c>
      <c r="B152" s="57"/>
      <c r="C152" s="59">
        <f t="shared" ref="C152:L152" si="27">SUM(C114:C151)</f>
        <v>17021200</v>
      </c>
      <c r="D152" s="59">
        <f t="shared" si="27"/>
        <v>0</v>
      </c>
      <c r="E152" s="59">
        <f t="shared" si="27"/>
        <v>17021200</v>
      </c>
      <c r="F152" s="59">
        <f t="shared" si="27"/>
        <v>850000</v>
      </c>
      <c r="G152" s="59">
        <f t="shared" si="27"/>
        <v>17871200</v>
      </c>
      <c r="H152" s="59">
        <f t="shared" si="27"/>
        <v>-976413.73000000021</v>
      </c>
      <c r="I152" s="59">
        <f t="shared" si="27"/>
        <v>16894786.27</v>
      </c>
      <c r="J152" s="59">
        <f t="shared" si="27"/>
        <v>17526000</v>
      </c>
      <c r="K152" s="59">
        <f t="shared" si="27"/>
        <v>18262092</v>
      </c>
      <c r="L152" s="59">
        <f t="shared" si="27"/>
        <v>19065624.048000004</v>
      </c>
      <c r="M152" s="180"/>
      <c r="N152" s="193"/>
      <c r="O152" s="193"/>
    </row>
    <row r="153" spans="1:19" ht="13.5" thickTop="1" x14ac:dyDescent="0.3">
      <c r="A153" s="112"/>
      <c r="B153" s="112"/>
      <c r="C153" s="101"/>
      <c r="D153" s="62"/>
      <c r="E153" s="53">
        <f t="shared" si="26"/>
        <v>0</v>
      </c>
      <c r="F153" s="62"/>
      <c r="G153" s="53">
        <f t="shared" si="24"/>
        <v>0</v>
      </c>
      <c r="H153" s="62"/>
      <c r="I153" s="62"/>
      <c r="J153" s="62"/>
      <c r="K153" s="62"/>
      <c r="L153" s="184"/>
    </row>
    <row r="154" spans="1:19" x14ac:dyDescent="0.3">
      <c r="A154" s="51" t="s">
        <v>77</v>
      </c>
      <c r="B154" s="52"/>
      <c r="C154" s="53"/>
      <c r="D154" s="62"/>
      <c r="E154" s="53">
        <f t="shared" si="26"/>
        <v>0</v>
      </c>
      <c r="F154" s="62"/>
      <c r="G154" s="53">
        <f t="shared" si="24"/>
        <v>0</v>
      </c>
      <c r="H154" s="62"/>
      <c r="I154" s="62"/>
      <c r="J154" s="62"/>
      <c r="K154" s="62"/>
      <c r="L154" s="184"/>
    </row>
    <row r="155" spans="1:19" x14ac:dyDescent="0.3">
      <c r="A155" s="52"/>
      <c r="B155" s="52" t="s">
        <v>183</v>
      </c>
      <c r="C155" s="53">
        <v>0</v>
      </c>
      <c r="D155" s="62"/>
      <c r="E155" s="53">
        <f t="shared" si="26"/>
        <v>0</v>
      </c>
      <c r="F155" s="62"/>
      <c r="G155" s="53">
        <f t="shared" si="24"/>
        <v>0</v>
      </c>
      <c r="H155" s="62"/>
      <c r="I155" s="69">
        <f t="shared" ref="I155:I164" si="28">G155+H155</f>
        <v>0</v>
      </c>
      <c r="J155" s="53"/>
      <c r="K155" s="62"/>
      <c r="L155" s="184"/>
      <c r="O155" s="190"/>
    </row>
    <row r="156" spans="1:19" x14ac:dyDescent="0.3">
      <c r="A156" s="52"/>
      <c r="B156" s="52" t="s">
        <v>174</v>
      </c>
      <c r="C156" s="53">
        <v>0</v>
      </c>
      <c r="D156" s="62"/>
      <c r="E156" s="53">
        <f t="shared" si="26"/>
        <v>0</v>
      </c>
      <c r="F156" s="62"/>
      <c r="G156" s="53">
        <f t="shared" si="24"/>
        <v>0</v>
      </c>
      <c r="H156" s="62"/>
      <c r="I156" s="69">
        <f t="shared" si="28"/>
        <v>0</v>
      </c>
      <c r="J156" s="53"/>
      <c r="K156" s="62"/>
      <c r="L156" s="184"/>
      <c r="O156" s="190"/>
    </row>
    <row r="157" spans="1:19" x14ac:dyDescent="0.3">
      <c r="A157" s="52"/>
      <c r="B157" s="52" t="s">
        <v>180</v>
      </c>
      <c r="C157" s="53">
        <v>0</v>
      </c>
      <c r="D157" s="62"/>
      <c r="E157" s="53">
        <f t="shared" si="26"/>
        <v>0</v>
      </c>
      <c r="F157" s="62"/>
      <c r="G157" s="53">
        <f t="shared" si="24"/>
        <v>0</v>
      </c>
      <c r="H157" s="62"/>
      <c r="I157" s="69">
        <f t="shared" si="28"/>
        <v>0</v>
      </c>
      <c r="J157" s="53"/>
      <c r="K157" s="62"/>
      <c r="L157" s="184"/>
      <c r="O157" s="190"/>
    </row>
    <row r="158" spans="1:19" x14ac:dyDescent="0.3">
      <c r="A158" s="52"/>
      <c r="B158" s="52" t="s">
        <v>57</v>
      </c>
      <c r="C158" s="53">
        <v>0</v>
      </c>
      <c r="D158" s="62"/>
      <c r="E158" s="53">
        <f t="shared" si="26"/>
        <v>0</v>
      </c>
      <c r="F158" s="62"/>
      <c r="G158" s="53">
        <f t="shared" si="24"/>
        <v>0</v>
      </c>
      <c r="H158" s="62"/>
      <c r="I158" s="69">
        <f t="shared" si="28"/>
        <v>0</v>
      </c>
      <c r="J158" s="53"/>
      <c r="K158" s="62"/>
      <c r="L158" s="184"/>
      <c r="O158" s="190"/>
    </row>
    <row r="159" spans="1:19" x14ac:dyDescent="0.3">
      <c r="A159" s="52"/>
      <c r="B159" s="52" t="s">
        <v>166</v>
      </c>
      <c r="C159" s="53">
        <v>0</v>
      </c>
      <c r="D159" s="62"/>
      <c r="E159" s="53">
        <f t="shared" si="26"/>
        <v>0</v>
      </c>
      <c r="F159" s="62"/>
      <c r="G159" s="53">
        <f t="shared" si="24"/>
        <v>0</v>
      </c>
      <c r="H159" s="62"/>
      <c r="I159" s="69">
        <f t="shared" si="28"/>
        <v>0</v>
      </c>
      <c r="J159" s="53"/>
      <c r="K159" s="62"/>
      <c r="L159" s="184"/>
      <c r="O159" s="190"/>
    </row>
    <row r="160" spans="1:19" x14ac:dyDescent="0.3">
      <c r="A160" s="52"/>
      <c r="B160" s="52" t="s">
        <v>171</v>
      </c>
      <c r="C160" s="53">
        <v>0</v>
      </c>
      <c r="D160" s="62"/>
      <c r="E160" s="53">
        <f t="shared" si="26"/>
        <v>0</v>
      </c>
      <c r="F160" s="62"/>
      <c r="G160" s="53">
        <f t="shared" si="24"/>
        <v>0</v>
      </c>
      <c r="H160" s="62"/>
      <c r="I160" s="69">
        <f t="shared" si="28"/>
        <v>0</v>
      </c>
      <c r="J160" s="53"/>
      <c r="K160" s="62"/>
      <c r="L160" s="184"/>
      <c r="O160" s="190"/>
    </row>
    <row r="161" spans="1:18" x14ac:dyDescent="0.3">
      <c r="A161" s="52"/>
      <c r="B161" s="52" t="s">
        <v>190</v>
      </c>
      <c r="C161" s="53">
        <v>0</v>
      </c>
      <c r="D161" s="62"/>
      <c r="E161" s="53">
        <f t="shared" si="26"/>
        <v>0</v>
      </c>
      <c r="F161" s="62"/>
      <c r="G161" s="53">
        <f t="shared" si="24"/>
        <v>0</v>
      </c>
      <c r="H161" s="62"/>
      <c r="I161" s="69">
        <f t="shared" si="28"/>
        <v>0</v>
      </c>
      <c r="J161" s="53"/>
      <c r="K161" s="62"/>
      <c r="L161" s="184"/>
      <c r="O161" s="190"/>
    </row>
    <row r="162" spans="1:18" x14ac:dyDescent="0.3">
      <c r="A162" s="52"/>
      <c r="B162" s="52" t="s">
        <v>55</v>
      </c>
      <c r="C162" s="53">
        <v>0</v>
      </c>
      <c r="D162" s="62"/>
      <c r="E162" s="53">
        <f t="shared" si="26"/>
        <v>0</v>
      </c>
      <c r="F162" s="62"/>
      <c r="G162" s="53">
        <f t="shared" si="24"/>
        <v>0</v>
      </c>
      <c r="H162" s="62"/>
      <c r="I162" s="69">
        <f t="shared" si="28"/>
        <v>0</v>
      </c>
      <c r="J162" s="53"/>
      <c r="K162" s="62"/>
      <c r="L162" s="184"/>
      <c r="O162" s="190"/>
    </row>
    <row r="163" spans="1:18" x14ac:dyDescent="0.3">
      <c r="A163" s="52"/>
      <c r="B163" s="52" t="s">
        <v>177</v>
      </c>
      <c r="C163" s="53">
        <v>0</v>
      </c>
      <c r="D163" s="62"/>
      <c r="E163" s="53">
        <f t="shared" si="26"/>
        <v>0</v>
      </c>
      <c r="F163" s="62"/>
      <c r="G163" s="53">
        <f t="shared" si="24"/>
        <v>0</v>
      </c>
      <c r="H163" s="62"/>
      <c r="I163" s="69">
        <f t="shared" si="28"/>
        <v>0</v>
      </c>
      <c r="J163" s="53"/>
      <c r="K163" s="62"/>
      <c r="L163" s="184"/>
      <c r="O163" s="190"/>
    </row>
    <row r="164" spans="1:18" ht="13.5" thickBot="1" x14ac:dyDescent="0.35">
      <c r="A164" s="55"/>
      <c r="B164" s="55"/>
      <c r="C164" s="69"/>
      <c r="D164" s="79"/>
      <c r="E164" s="53">
        <f t="shared" si="26"/>
        <v>0</v>
      </c>
      <c r="F164" s="79"/>
      <c r="G164" s="53">
        <f t="shared" si="24"/>
        <v>0</v>
      </c>
      <c r="H164" s="79"/>
      <c r="I164" s="69">
        <f t="shared" si="28"/>
        <v>0</v>
      </c>
      <c r="J164" s="114"/>
      <c r="K164" s="79"/>
      <c r="L164" s="179"/>
      <c r="O164" s="190"/>
    </row>
    <row r="165" spans="1:18" ht="13.5" thickBot="1" x14ac:dyDescent="0.35">
      <c r="A165" s="57" t="s">
        <v>201</v>
      </c>
      <c r="B165" s="57"/>
      <c r="C165" s="59">
        <f>SUM(C155:C164)</f>
        <v>0</v>
      </c>
      <c r="D165" s="59"/>
      <c r="E165" s="59">
        <f t="shared" ref="E165:L165" si="29">SUM(E155:E164)</f>
        <v>0</v>
      </c>
      <c r="F165" s="59">
        <f t="shared" si="29"/>
        <v>0</v>
      </c>
      <c r="G165" s="59">
        <f t="shared" si="29"/>
        <v>0</v>
      </c>
      <c r="H165" s="59">
        <f t="shared" si="29"/>
        <v>0</v>
      </c>
      <c r="I165" s="59">
        <f t="shared" si="29"/>
        <v>0</v>
      </c>
      <c r="J165" s="59">
        <f t="shared" si="29"/>
        <v>0</v>
      </c>
      <c r="K165" s="59">
        <f t="shared" si="29"/>
        <v>0</v>
      </c>
      <c r="L165" s="59">
        <f t="shared" si="29"/>
        <v>0</v>
      </c>
      <c r="M165" s="180"/>
      <c r="N165" s="193"/>
      <c r="O165" s="193"/>
    </row>
    <row r="166" spans="1:18" ht="14" thickTop="1" thickBot="1" x14ac:dyDescent="0.35">
      <c r="A166" s="73"/>
      <c r="B166" s="73"/>
      <c r="C166" s="79"/>
      <c r="D166" s="79"/>
      <c r="E166" s="53">
        <f t="shared" si="26"/>
        <v>0</v>
      </c>
      <c r="F166" s="79"/>
      <c r="G166" s="53">
        <f t="shared" si="24"/>
        <v>0</v>
      </c>
      <c r="H166" s="79"/>
      <c r="I166" s="79"/>
      <c r="J166" s="79"/>
      <c r="K166" s="79"/>
      <c r="L166" s="179"/>
    </row>
    <row r="167" spans="1:18" ht="13.5" thickBot="1" x14ac:dyDescent="0.35">
      <c r="A167" s="70" t="s">
        <v>729</v>
      </c>
      <c r="B167" s="70"/>
      <c r="C167" s="72">
        <f>C165+C152</f>
        <v>17021200</v>
      </c>
      <c r="D167" s="72">
        <f t="shared" ref="D167:L167" si="30">D165+D152</f>
        <v>0</v>
      </c>
      <c r="E167" s="72">
        <f t="shared" si="30"/>
        <v>17021200</v>
      </c>
      <c r="F167" s="72">
        <f t="shared" si="30"/>
        <v>850000</v>
      </c>
      <c r="G167" s="72">
        <f t="shared" si="30"/>
        <v>17871200</v>
      </c>
      <c r="H167" s="72">
        <f t="shared" si="30"/>
        <v>-976413.73000000021</v>
      </c>
      <c r="I167" s="72">
        <f t="shared" si="30"/>
        <v>16894786.27</v>
      </c>
      <c r="J167" s="72">
        <f t="shared" si="30"/>
        <v>17526000</v>
      </c>
      <c r="K167" s="72">
        <f t="shared" si="30"/>
        <v>18262092</v>
      </c>
      <c r="L167" s="72">
        <f t="shared" si="30"/>
        <v>19065624.048000004</v>
      </c>
      <c r="M167" s="180"/>
      <c r="N167" s="193"/>
      <c r="O167" s="193"/>
    </row>
    <row r="168" spans="1:18" ht="13.5" thickTop="1" x14ac:dyDescent="0.3">
      <c r="A168" s="73"/>
      <c r="B168" s="73"/>
      <c r="C168" s="79"/>
      <c r="D168" s="79"/>
      <c r="E168" s="53">
        <f t="shared" si="26"/>
        <v>0</v>
      </c>
      <c r="F168" s="62"/>
      <c r="G168" s="53">
        <f t="shared" si="24"/>
        <v>0</v>
      </c>
      <c r="H168" s="62"/>
      <c r="I168" s="62"/>
      <c r="J168" s="62"/>
      <c r="K168" s="62"/>
      <c r="L168" s="184"/>
    </row>
    <row r="169" spans="1:18" x14ac:dyDescent="0.3">
      <c r="A169" s="55" t="s">
        <v>730</v>
      </c>
      <c r="B169" s="56"/>
      <c r="C169" s="69"/>
      <c r="D169" s="69"/>
      <c r="E169" s="53">
        <f t="shared" si="26"/>
        <v>0</v>
      </c>
      <c r="F169" s="53"/>
      <c r="G169" s="53">
        <f t="shared" si="24"/>
        <v>0</v>
      </c>
      <c r="H169" s="53"/>
      <c r="I169" s="53"/>
      <c r="J169" s="53"/>
      <c r="K169" s="53"/>
      <c r="L169" s="176"/>
    </row>
    <row r="170" spans="1:18" x14ac:dyDescent="0.3">
      <c r="A170" s="56"/>
      <c r="B170" s="56"/>
      <c r="C170" s="69"/>
      <c r="D170" s="69"/>
      <c r="E170" s="53">
        <f t="shared" si="26"/>
        <v>0</v>
      </c>
      <c r="F170" s="53"/>
      <c r="G170" s="53">
        <f t="shared" si="24"/>
        <v>0</v>
      </c>
      <c r="H170" s="53"/>
      <c r="I170" s="53"/>
      <c r="J170" s="53"/>
      <c r="K170" s="53"/>
      <c r="L170" s="176"/>
    </row>
    <row r="171" spans="1:18" x14ac:dyDescent="0.3">
      <c r="A171" s="51" t="s">
        <v>458</v>
      </c>
      <c r="B171" s="173"/>
      <c r="C171" s="69"/>
      <c r="D171" s="69"/>
      <c r="E171" s="53">
        <f t="shared" si="26"/>
        <v>0</v>
      </c>
      <c r="F171" s="53"/>
      <c r="G171" s="53">
        <f t="shared" si="24"/>
        <v>0</v>
      </c>
      <c r="H171" s="53"/>
      <c r="I171" s="53"/>
      <c r="J171" s="53"/>
      <c r="K171" s="53"/>
      <c r="L171" s="176"/>
    </row>
    <row r="172" spans="1:18" x14ac:dyDescent="0.3">
      <c r="A172" s="56"/>
      <c r="B172" s="56"/>
      <c r="C172" s="69"/>
      <c r="D172" s="69"/>
      <c r="E172" s="53">
        <f t="shared" si="26"/>
        <v>0</v>
      </c>
      <c r="F172" s="53"/>
      <c r="G172" s="53">
        <f t="shared" si="24"/>
        <v>0</v>
      </c>
      <c r="H172" s="53"/>
      <c r="I172" s="53"/>
      <c r="J172" s="53"/>
      <c r="K172" s="53"/>
      <c r="L172" s="176"/>
    </row>
    <row r="173" spans="1:18" x14ac:dyDescent="0.3">
      <c r="A173" s="56" t="s">
        <v>202</v>
      </c>
      <c r="B173" s="56" t="s">
        <v>203</v>
      </c>
      <c r="C173" s="69">
        <v>1500000</v>
      </c>
      <c r="D173" s="69"/>
      <c r="E173" s="53">
        <f t="shared" si="26"/>
        <v>1500000</v>
      </c>
      <c r="F173" s="53"/>
      <c r="G173" s="53">
        <f t="shared" si="24"/>
        <v>1500000</v>
      </c>
      <c r="H173" s="53">
        <v>1867990.2800000003</v>
      </c>
      <c r="I173" s="69">
        <f>G173+H173</f>
        <v>3367990.2800000003</v>
      </c>
      <c r="J173" s="69"/>
      <c r="K173" s="53">
        <f>J173*104.2%</f>
        <v>0</v>
      </c>
      <c r="L173" s="176">
        <f>K173*104.4%</f>
        <v>0</v>
      </c>
      <c r="O173" s="190"/>
      <c r="Q173" s="64">
        <v>3437990.2800000003</v>
      </c>
      <c r="R173" s="93">
        <f>M173-Q173</f>
        <v>-3437990.2800000003</v>
      </c>
    </row>
    <row r="174" spans="1:18" x14ac:dyDescent="0.3">
      <c r="A174" s="52" t="s">
        <v>440</v>
      </c>
      <c r="B174" s="52" t="s">
        <v>428</v>
      </c>
      <c r="C174" s="53">
        <v>25000</v>
      </c>
      <c r="D174" s="53"/>
      <c r="E174" s="53">
        <f t="shared" si="26"/>
        <v>25000</v>
      </c>
      <c r="F174" s="53"/>
      <c r="G174" s="53">
        <f t="shared" si="24"/>
        <v>25000</v>
      </c>
      <c r="H174" s="53"/>
      <c r="I174" s="69">
        <f>G174+H174</f>
        <v>25000</v>
      </c>
      <c r="J174" s="53"/>
      <c r="K174" s="53">
        <f>J174*104.2%</f>
        <v>0</v>
      </c>
      <c r="L174" s="176">
        <f>K174*104.4%</f>
        <v>0</v>
      </c>
      <c r="O174" s="190"/>
    </row>
    <row r="175" spans="1:18" ht="13.5" thickBot="1" x14ac:dyDescent="0.35">
      <c r="A175" s="73" t="s">
        <v>1293</v>
      </c>
      <c r="B175" s="73" t="s">
        <v>1294</v>
      </c>
      <c r="C175" s="79"/>
      <c r="D175" s="79"/>
      <c r="E175" s="53">
        <f t="shared" si="26"/>
        <v>0</v>
      </c>
      <c r="F175" s="79">
        <v>600000</v>
      </c>
      <c r="G175" s="53">
        <f t="shared" si="24"/>
        <v>600000</v>
      </c>
      <c r="H175" s="79">
        <v>-500000</v>
      </c>
      <c r="I175" s="69">
        <f>G175+H175</f>
        <v>100000</v>
      </c>
      <c r="J175" s="114"/>
      <c r="K175" s="53">
        <f>J175*104.2%</f>
        <v>0</v>
      </c>
      <c r="L175" s="176">
        <f>K175*104.4%</f>
        <v>0</v>
      </c>
      <c r="O175" s="190"/>
    </row>
    <row r="176" spans="1:18" ht="13.5" thickBot="1" x14ac:dyDescent="0.35">
      <c r="A176" s="57" t="s">
        <v>674</v>
      </c>
      <c r="B176" s="57"/>
      <c r="C176" s="59">
        <f>SUM(C173:C175)</f>
        <v>1525000</v>
      </c>
      <c r="D176" s="59">
        <f t="shared" ref="D176:L176" si="31">SUM(D173:D175)</f>
        <v>0</v>
      </c>
      <c r="E176" s="59">
        <f t="shared" si="31"/>
        <v>1525000</v>
      </c>
      <c r="F176" s="59">
        <f t="shared" si="31"/>
        <v>600000</v>
      </c>
      <c r="G176" s="59">
        <f t="shared" si="31"/>
        <v>2125000</v>
      </c>
      <c r="H176" s="59">
        <f t="shared" si="31"/>
        <v>1367990.2800000003</v>
      </c>
      <c r="I176" s="59">
        <f t="shared" si="31"/>
        <v>3492990.2800000003</v>
      </c>
      <c r="J176" s="59">
        <f t="shared" si="31"/>
        <v>0</v>
      </c>
      <c r="K176" s="59">
        <f t="shared" si="31"/>
        <v>0</v>
      </c>
      <c r="L176" s="59">
        <f t="shared" si="31"/>
        <v>0</v>
      </c>
      <c r="M176" s="180"/>
      <c r="N176" s="193"/>
      <c r="O176" s="193"/>
    </row>
    <row r="177" spans="1:15" ht="13.5" thickTop="1" x14ac:dyDescent="0.3">
      <c r="A177" s="60"/>
      <c r="B177" s="61"/>
      <c r="C177" s="62"/>
      <c r="D177" s="62"/>
      <c r="E177" s="53">
        <f t="shared" si="26"/>
        <v>0</v>
      </c>
      <c r="F177" s="62"/>
      <c r="G177" s="53">
        <f t="shared" si="24"/>
        <v>0</v>
      </c>
      <c r="H177" s="62"/>
      <c r="I177" s="62"/>
      <c r="J177" s="62"/>
      <c r="K177" s="62"/>
      <c r="L177" s="184"/>
    </row>
    <row r="178" spans="1:15" x14ac:dyDescent="0.3">
      <c r="A178" s="51" t="s">
        <v>77</v>
      </c>
      <c r="B178" s="52"/>
      <c r="C178" s="62"/>
      <c r="D178" s="62"/>
      <c r="E178" s="53">
        <f t="shared" si="26"/>
        <v>0</v>
      </c>
      <c r="F178" s="62"/>
      <c r="G178" s="53">
        <f t="shared" si="24"/>
        <v>0</v>
      </c>
      <c r="H178" s="62"/>
      <c r="I178" s="62"/>
      <c r="J178" s="62"/>
      <c r="K178" s="62"/>
      <c r="L178" s="184"/>
    </row>
    <row r="179" spans="1:15" x14ac:dyDescent="0.3">
      <c r="A179" s="52"/>
      <c r="B179" s="52" t="s">
        <v>183</v>
      </c>
      <c r="C179" s="62">
        <v>0</v>
      </c>
      <c r="D179" s="62"/>
      <c r="E179" s="53">
        <f t="shared" si="26"/>
        <v>0</v>
      </c>
      <c r="F179" s="62"/>
      <c r="G179" s="53">
        <f t="shared" si="24"/>
        <v>0</v>
      </c>
      <c r="H179" s="62"/>
      <c r="I179" s="69">
        <f t="shared" ref="I179:I188" si="32">G179+H179</f>
        <v>0</v>
      </c>
      <c r="J179" s="53"/>
      <c r="K179" s="62"/>
      <c r="L179" s="184"/>
      <c r="O179" s="190"/>
    </row>
    <row r="180" spans="1:15" x14ac:dyDescent="0.3">
      <c r="A180" s="52"/>
      <c r="B180" s="52" t="s">
        <v>174</v>
      </c>
      <c r="C180" s="62">
        <v>0</v>
      </c>
      <c r="D180" s="62"/>
      <c r="E180" s="53">
        <f t="shared" si="26"/>
        <v>0</v>
      </c>
      <c r="F180" s="62"/>
      <c r="G180" s="53">
        <f t="shared" si="24"/>
        <v>0</v>
      </c>
      <c r="H180" s="62"/>
      <c r="I180" s="69">
        <f t="shared" si="32"/>
        <v>0</v>
      </c>
      <c r="J180" s="53"/>
      <c r="K180" s="62"/>
      <c r="L180" s="184"/>
      <c r="O180" s="190"/>
    </row>
    <row r="181" spans="1:15" x14ac:dyDescent="0.3">
      <c r="A181" s="52"/>
      <c r="B181" s="52" t="s">
        <v>180</v>
      </c>
      <c r="C181" s="62">
        <v>0</v>
      </c>
      <c r="D181" s="62"/>
      <c r="E181" s="53">
        <f t="shared" si="26"/>
        <v>0</v>
      </c>
      <c r="F181" s="62"/>
      <c r="G181" s="53">
        <f t="shared" ref="G181:G194" si="33">E181+F181</f>
        <v>0</v>
      </c>
      <c r="H181" s="62"/>
      <c r="I181" s="69">
        <f t="shared" si="32"/>
        <v>0</v>
      </c>
      <c r="J181" s="53"/>
      <c r="K181" s="62"/>
      <c r="L181" s="184"/>
      <c r="O181" s="190"/>
    </row>
    <row r="182" spans="1:15" x14ac:dyDescent="0.3">
      <c r="A182" s="52"/>
      <c r="B182" s="52" t="s">
        <v>57</v>
      </c>
      <c r="C182" s="62">
        <v>0</v>
      </c>
      <c r="D182" s="62"/>
      <c r="E182" s="53">
        <f t="shared" si="26"/>
        <v>0</v>
      </c>
      <c r="F182" s="62"/>
      <c r="G182" s="53">
        <f t="shared" si="33"/>
        <v>0</v>
      </c>
      <c r="H182" s="62"/>
      <c r="I182" s="69">
        <f t="shared" si="32"/>
        <v>0</v>
      </c>
      <c r="J182" s="53"/>
      <c r="K182" s="62"/>
      <c r="L182" s="184"/>
      <c r="O182" s="190"/>
    </row>
    <row r="183" spans="1:15" x14ac:dyDescent="0.3">
      <c r="A183" s="52"/>
      <c r="B183" s="52" t="s">
        <v>166</v>
      </c>
      <c r="C183" s="62">
        <v>0</v>
      </c>
      <c r="D183" s="62"/>
      <c r="E183" s="53">
        <f t="shared" si="26"/>
        <v>0</v>
      </c>
      <c r="F183" s="62"/>
      <c r="G183" s="53">
        <f t="shared" si="33"/>
        <v>0</v>
      </c>
      <c r="H183" s="62"/>
      <c r="I183" s="69">
        <f t="shared" si="32"/>
        <v>0</v>
      </c>
      <c r="J183" s="53"/>
      <c r="K183" s="62"/>
      <c r="L183" s="184"/>
      <c r="O183" s="190"/>
    </row>
    <row r="184" spans="1:15" x14ac:dyDescent="0.3">
      <c r="A184" s="52"/>
      <c r="B184" s="52" t="s">
        <v>171</v>
      </c>
      <c r="C184" s="53">
        <v>0</v>
      </c>
      <c r="D184" s="53"/>
      <c r="E184" s="53">
        <f t="shared" si="26"/>
        <v>0</v>
      </c>
      <c r="F184" s="53"/>
      <c r="G184" s="53">
        <f t="shared" si="33"/>
        <v>0</v>
      </c>
      <c r="H184" s="53"/>
      <c r="I184" s="69">
        <f t="shared" si="32"/>
        <v>0</v>
      </c>
      <c r="J184" s="69"/>
      <c r="K184" s="53"/>
      <c r="L184" s="176"/>
      <c r="O184" s="190"/>
    </row>
    <row r="185" spans="1:15" x14ac:dyDescent="0.3">
      <c r="A185" s="52"/>
      <c r="B185" s="52" t="s">
        <v>190</v>
      </c>
      <c r="C185" s="53">
        <v>0</v>
      </c>
      <c r="D185" s="53"/>
      <c r="E185" s="53">
        <f t="shared" si="26"/>
        <v>0</v>
      </c>
      <c r="F185" s="53"/>
      <c r="G185" s="53">
        <f t="shared" si="33"/>
        <v>0</v>
      </c>
      <c r="H185" s="53"/>
      <c r="I185" s="69">
        <f t="shared" si="32"/>
        <v>0</v>
      </c>
      <c r="J185" s="69"/>
      <c r="K185" s="53"/>
      <c r="L185" s="176"/>
      <c r="O185" s="190"/>
    </row>
    <row r="186" spans="1:15" x14ac:dyDescent="0.3">
      <c r="A186" s="52"/>
      <c r="B186" s="52" t="s">
        <v>55</v>
      </c>
      <c r="C186" s="53">
        <v>0</v>
      </c>
      <c r="D186" s="53"/>
      <c r="E186" s="53">
        <f t="shared" si="26"/>
        <v>0</v>
      </c>
      <c r="F186" s="53"/>
      <c r="G186" s="53">
        <f t="shared" si="33"/>
        <v>0</v>
      </c>
      <c r="H186" s="53"/>
      <c r="I186" s="69">
        <f t="shared" si="32"/>
        <v>0</v>
      </c>
      <c r="J186" s="69"/>
      <c r="K186" s="53"/>
      <c r="L186" s="176"/>
      <c r="O186" s="190"/>
    </row>
    <row r="187" spans="1:15" x14ac:dyDescent="0.3">
      <c r="A187" s="52"/>
      <c r="B187" s="52" t="s">
        <v>177</v>
      </c>
      <c r="C187" s="53">
        <v>0</v>
      </c>
      <c r="D187" s="53"/>
      <c r="E187" s="53">
        <f t="shared" si="26"/>
        <v>0</v>
      </c>
      <c r="F187" s="53"/>
      <c r="G187" s="53">
        <f t="shared" si="33"/>
        <v>0</v>
      </c>
      <c r="H187" s="53"/>
      <c r="I187" s="69">
        <f t="shared" si="32"/>
        <v>0</v>
      </c>
      <c r="J187" s="69"/>
      <c r="K187" s="53"/>
      <c r="L187" s="176"/>
      <c r="O187" s="190"/>
    </row>
    <row r="188" spans="1:15" ht="13.5" thickBot="1" x14ac:dyDescent="0.35">
      <c r="A188" s="55"/>
      <c r="B188" s="55"/>
      <c r="C188" s="69"/>
      <c r="D188" s="69"/>
      <c r="E188" s="53">
        <f t="shared" si="26"/>
        <v>0</v>
      </c>
      <c r="F188" s="69"/>
      <c r="G188" s="53">
        <f t="shared" si="33"/>
        <v>0</v>
      </c>
      <c r="H188" s="69"/>
      <c r="I188" s="69">
        <f t="shared" si="32"/>
        <v>0</v>
      </c>
      <c r="J188" s="69"/>
      <c r="K188" s="69"/>
      <c r="L188" s="186"/>
    </row>
    <row r="189" spans="1:15" ht="13.5" thickBot="1" x14ac:dyDescent="0.35">
      <c r="A189" s="57" t="s">
        <v>201</v>
      </c>
      <c r="B189" s="57"/>
      <c r="C189" s="59">
        <f>SUM(C179:C188)</f>
        <v>0</v>
      </c>
      <c r="D189" s="59"/>
      <c r="E189" s="59">
        <f t="shared" ref="E189:I189" si="34">SUM(E179:E188)</f>
        <v>0</v>
      </c>
      <c r="F189" s="59">
        <f t="shared" si="34"/>
        <v>0</v>
      </c>
      <c r="G189" s="59">
        <f t="shared" si="34"/>
        <v>0</v>
      </c>
      <c r="H189" s="59">
        <f t="shared" si="34"/>
        <v>0</v>
      </c>
      <c r="I189" s="59">
        <f t="shared" si="34"/>
        <v>0</v>
      </c>
      <c r="J189" s="59"/>
      <c r="K189" s="59"/>
      <c r="L189" s="177"/>
      <c r="M189" s="180"/>
      <c r="N189" s="193"/>
      <c r="O189" s="193"/>
    </row>
    <row r="190" spans="1:15" ht="14" thickTop="1" thickBot="1" x14ac:dyDescent="0.35">
      <c r="A190" s="74"/>
      <c r="B190" s="74"/>
      <c r="C190" s="79"/>
      <c r="D190" s="79"/>
      <c r="E190" s="53">
        <f t="shared" si="26"/>
        <v>0</v>
      </c>
      <c r="F190" s="79"/>
      <c r="G190" s="53">
        <f t="shared" si="33"/>
        <v>0</v>
      </c>
      <c r="H190" s="79"/>
      <c r="I190" s="79"/>
      <c r="J190" s="79"/>
      <c r="K190" s="79"/>
      <c r="L190" s="179"/>
    </row>
    <row r="191" spans="1:15" ht="13.5" thickBot="1" x14ac:dyDescent="0.35">
      <c r="A191" s="70" t="s">
        <v>865</v>
      </c>
      <c r="B191" s="70"/>
      <c r="C191" s="72">
        <f>C189+C176</f>
        <v>1525000</v>
      </c>
      <c r="D191" s="72">
        <f t="shared" ref="D191:L191" si="35">D189+D176</f>
        <v>0</v>
      </c>
      <c r="E191" s="72">
        <f t="shared" si="35"/>
        <v>1525000</v>
      </c>
      <c r="F191" s="72">
        <f t="shared" si="35"/>
        <v>600000</v>
      </c>
      <c r="G191" s="72">
        <f t="shared" si="35"/>
        <v>2125000</v>
      </c>
      <c r="H191" s="72">
        <f t="shared" si="35"/>
        <v>1367990.2800000003</v>
      </c>
      <c r="I191" s="72">
        <f t="shared" si="35"/>
        <v>3492990.2800000003</v>
      </c>
      <c r="J191" s="72">
        <f t="shared" si="35"/>
        <v>0</v>
      </c>
      <c r="K191" s="72">
        <f t="shared" si="35"/>
        <v>0</v>
      </c>
      <c r="L191" s="72">
        <f t="shared" si="35"/>
        <v>0</v>
      </c>
      <c r="M191" s="180"/>
      <c r="N191" s="193"/>
      <c r="O191" s="193"/>
    </row>
    <row r="192" spans="1:15" ht="14" thickTop="1" thickBot="1" x14ac:dyDescent="0.35">
      <c r="A192" s="74"/>
      <c r="B192" s="74"/>
      <c r="C192" s="79"/>
      <c r="D192" s="79"/>
      <c r="E192" s="53">
        <f t="shared" si="26"/>
        <v>0</v>
      </c>
      <c r="F192" s="79"/>
      <c r="G192" s="53">
        <f t="shared" si="33"/>
        <v>0</v>
      </c>
      <c r="H192" s="79"/>
      <c r="I192" s="79"/>
      <c r="J192" s="79"/>
      <c r="K192" s="79"/>
      <c r="L192" s="179"/>
    </row>
    <row r="193" spans="1:17" ht="13.5" thickBot="1" x14ac:dyDescent="0.35">
      <c r="A193" s="70" t="s">
        <v>731</v>
      </c>
      <c r="B193" s="70"/>
      <c r="C193" s="72">
        <f t="shared" ref="C193:L193" si="36">C191+C167+C107+C73</f>
        <v>41070563.183907479</v>
      </c>
      <c r="D193" s="72">
        <f t="shared" si="36"/>
        <v>100000</v>
      </c>
      <c r="E193" s="72">
        <f t="shared" si="36"/>
        <v>41170563.183907479</v>
      </c>
      <c r="F193" s="72">
        <f t="shared" si="36"/>
        <v>1450000</v>
      </c>
      <c r="G193" s="72">
        <f t="shared" si="36"/>
        <v>42620563.183907479</v>
      </c>
      <c r="H193" s="72">
        <f t="shared" si="36"/>
        <v>255061.83285192007</v>
      </c>
      <c r="I193" s="72">
        <f t="shared" si="36"/>
        <v>42875625.016759411</v>
      </c>
      <c r="J193" s="72">
        <f t="shared" si="36"/>
        <v>42098314.941725813</v>
      </c>
      <c r="K193" s="72">
        <f t="shared" si="36"/>
        <v>43866444.169278294</v>
      </c>
      <c r="L193" s="188">
        <f t="shared" si="36"/>
        <v>45796567.712726548</v>
      </c>
      <c r="M193" s="180"/>
      <c r="N193" s="193"/>
      <c r="O193" s="193"/>
    </row>
    <row r="194" spans="1:17" ht="14" thickTop="1" thickBot="1" x14ac:dyDescent="0.35">
      <c r="A194" s="74"/>
      <c r="B194" s="74"/>
      <c r="C194" s="79"/>
      <c r="D194" s="79"/>
      <c r="E194" s="53">
        <f t="shared" si="26"/>
        <v>0</v>
      </c>
      <c r="F194" s="79"/>
      <c r="G194" s="53">
        <f t="shared" si="33"/>
        <v>0</v>
      </c>
      <c r="H194" s="79"/>
      <c r="I194" s="79"/>
      <c r="J194" s="79"/>
      <c r="K194" s="79"/>
      <c r="L194" s="179"/>
    </row>
    <row r="195" spans="1:17" s="77" customFormat="1" ht="13.5" thickBot="1" x14ac:dyDescent="0.35">
      <c r="A195" s="70" t="s">
        <v>692</v>
      </c>
      <c r="B195" s="70"/>
      <c r="C195" s="72">
        <f>C193</f>
        <v>41070563.183907479</v>
      </c>
      <c r="D195" s="72">
        <f t="shared" ref="D195:L195" si="37">D193</f>
        <v>100000</v>
      </c>
      <c r="E195" s="72">
        <f t="shared" si="37"/>
        <v>41170563.183907479</v>
      </c>
      <c r="F195" s="72">
        <f t="shared" si="37"/>
        <v>1450000</v>
      </c>
      <c r="G195" s="72">
        <f t="shared" si="37"/>
        <v>42620563.183907479</v>
      </c>
      <c r="H195" s="72">
        <f>H193</f>
        <v>255061.83285192007</v>
      </c>
      <c r="I195" s="72">
        <f t="shared" si="37"/>
        <v>42875625.016759411</v>
      </c>
      <c r="J195" s="72">
        <f t="shared" si="37"/>
        <v>42098314.941725813</v>
      </c>
      <c r="K195" s="72">
        <f t="shared" si="37"/>
        <v>43866444.169278294</v>
      </c>
      <c r="L195" s="188">
        <f t="shared" si="37"/>
        <v>45796567.712726548</v>
      </c>
      <c r="M195" s="180"/>
      <c r="N195" s="193"/>
      <c r="O195" s="193"/>
      <c r="P195" s="219"/>
      <c r="Q195" s="76"/>
    </row>
    <row r="196" spans="1:17" ht="13.5" thickTop="1" x14ac:dyDescent="0.3"/>
    <row r="198" spans="1:17" x14ac:dyDescent="0.3">
      <c r="K198" s="64"/>
    </row>
    <row r="200" spans="1:17" x14ac:dyDescent="0.3">
      <c r="K200" s="64"/>
      <c r="L200" s="64"/>
    </row>
  </sheetData>
  <sortState xmlns:xlrd2="http://schemas.microsoft.com/office/spreadsheetml/2017/richdata2" ref="A6:R58">
    <sortCondition ref="B6:B58"/>
  </sortState>
  <mergeCells count="1">
    <mergeCell ref="A2:L2"/>
  </mergeCells>
  <printOptions gridLines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46"/>
  <sheetViews>
    <sheetView view="pageBreakPreview" zoomScale="80" zoomScaleNormal="80" zoomScaleSheetLayoutView="80" workbookViewId="0">
      <pane xSplit="2" ySplit="3" topLeftCell="C37" activePane="bottomRight" state="frozen"/>
      <selection activeCell="E140" sqref="E140"/>
      <selection pane="topRight" activeCell="E140" sqref="E140"/>
      <selection pane="bottomLeft" activeCell="E140" sqref="E140"/>
      <selection pane="bottomRight" activeCell="E140" sqref="E140"/>
    </sheetView>
  </sheetViews>
  <sheetFormatPr defaultColWidth="9.1796875" defaultRowHeight="13" x14ac:dyDescent="0.3"/>
  <cols>
    <col min="1" max="1" width="36.81640625" style="63" customWidth="1"/>
    <col min="2" max="2" width="56.54296875" style="63" customWidth="1"/>
    <col min="3" max="4" width="16.54296875" style="64" hidden="1" customWidth="1"/>
    <col min="5" max="5" width="13.54296875" style="64" bestFit="1" customWidth="1"/>
    <col min="6" max="6" width="16.54296875" style="64" hidden="1" customWidth="1"/>
    <col min="7" max="7" width="13.81640625" style="64" bestFit="1" customWidth="1"/>
    <col min="8" max="8" width="11.54296875" style="64" hidden="1" customWidth="1"/>
    <col min="9" max="10" width="16.54296875" style="64" customWidth="1"/>
    <col min="11" max="12" width="14.36328125" style="64" bestFit="1" customWidth="1"/>
    <col min="13" max="13" width="15.54296875" style="179" customWidth="1"/>
    <col min="14" max="14" width="15.54296875" style="190" customWidth="1"/>
    <col min="15" max="15" width="13.26953125" style="194" customWidth="1"/>
    <col min="16" max="16" width="9.1796875" style="194"/>
    <col min="17" max="17" width="10.54296875" style="63" bestFit="1" customWidth="1"/>
    <col min="18" max="19" width="10.36328125" style="63" bestFit="1" customWidth="1"/>
    <col min="20" max="16384" width="9.1796875" style="63"/>
  </cols>
  <sheetData>
    <row r="1" spans="1:19" ht="13.5" thickBot="1" x14ac:dyDescent="0.35">
      <c r="B1" s="231">
        <f>'2021 2022 DRAFT BUDGET SUMMARY'!J24</f>
        <v>-79111.445678055286</v>
      </c>
      <c r="C1" s="64">
        <f>'2021 2022 DRAFT BUDGET SUMMARY'!J24</f>
        <v>-79111.445678055286</v>
      </c>
    </row>
    <row r="2" spans="1:19" ht="13.5" thickBot="1" x14ac:dyDescent="0.35">
      <c r="A2" s="235" t="s">
        <v>1352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7"/>
    </row>
    <row r="3" spans="1:19" ht="26.5" thickBot="1" x14ac:dyDescent="0.35">
      <c r="A3" s="75" t="s">
        <v>0</v>
      </c>
      <c r="B3" s="75" t="s">
        <v>1</v>
      </c>
      <c r="C3" s="162" t="s">
        <v>669</v>
      </c>
      <c r="D3" s="162" t="s">
        <v>1219</v>
      </c>
      <c r="E3" s="162" t="s">
        <v>1220</v>
      </c>
      <c r="F3" s="162" t="s">
        <v>1284</v>
      </c>
      <c r="G3" s="161" t="s">
        <v>1322</v>
      </c>
      <c r="H3" s="161" t="s">
        <v>1284</v>
      </c>
      <c r="I3" s="161" t="s">
        <v>1323</v>
      </c>
      <c r="J3" s="161" t="s">
        <v>1356</v>
      </c>
      <c r="K3" s="161" t="s">
        <v>670</v>
      </c>
      <c r="L3" s="175" t="s">
        <v>671</v>
      </c>
      <c r="M3" s="191"/>
      <c r="N3" s="192"/>
      <c r="O3" s="192"/>
    </row>
    <row r="4" spans="1:19" x14ac:dyDescent="0.3">
      <c r="A4" s="60"/>
      <c r="B4" s="60"/>
      <c r="C4" s="66"/>
      <c r="D4" s="66"/>
      <c r="E4" s="66"/>
      <c r="F4" s="66"/>
      <c r="G4" s="66"/>
      <c r="H4" s="66"/>
      <c r="I4" s="66"/>
      <c r="J4" s="66"/>
      <c r="K4" s="66"/>
      <c r="L4" s="206"/>
    </row>
    <row r="5" spans="1:19" x14ac:dyDescent="0.3">
      <c r="A5" s="89" t="s">
        <v>74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89"/>
    </row>
    <row r="6" spans="1:19" x14ac:dyDescent="0.3">
      <c r="A6" s="51" t="s">
        <v>76</v>
      </c>
      <c r="B6" s="52"/>
      <c r="C6" s="54"/>
      <c r="D6" s="54"/>
      <c r="E6" s="54"/>
      <c r="F6" s="54"/>
      <c r="G6" s="54"/>
      <c r="H6" s="54"/>
      <c r="I6" s="54"/>
      <c r="J6" s="54"/>
      <c r="K6" s="53"/>
      <c r="L6" s="176"/>
    </row>
    <row r="7" spans="1:19" x14ac:dyDescent="0.3">
      <c r="A7" s="52" t="s">
        <v>258</v>
      </c>
      <c r="B7" s="52" t="s">
        <v>40</v>
      </c>
      <c r="C7" s="53">
        <v>80000</v>
      </c>
      <c r="D7" s="53"/>
      <c r="E7" s="53">
        <f>C7+D7</f>
        <v>80000</v>
      </c>
      <c r="F7" s="53"/>
      <c r="G7" s="53">
        <f t="shared" ref="G7:G44" si="0">E7+F7</f>
        <v>80000</v>
      </c>
      <c r="H7" s="53">
        <v>-40000</v>
      </c>
      <c r="I7" s="69">
        <f t="shared" ref="I7:I17" si="1">G7+H7</f>
        <v>40000</v>
      </c>
      <c r="J7" s="69">
        <v>60000</v>
      </c>
      <c r="K7" s="53">
        <f t="shared" ref="K7:K17" si="2">J7*104.2%</f>
        <v>62520</v>
      </c>
      <c r="L7" s="176">
        <f t="shared" ref="L7:L17" si="3">K7*104.4%</f>
        <v>65270.880000000005</v>
      </c>
      <c r="O7" s="190"/>
      <c r="R7" s="93">
        <f>E9-Q9</f>
        <v>150000</v>
      </c>
    </row>
    <row r="8" spans="1:19" x14ac:dyDescent="0.3">
      <c r="A8" s="52" t="s">
        <v>660</v>
      </c>
      <c r="B8" s="52" t="s">
        <v>656</v>
      </c>
      <c r="C8" s="53">
        <v>500000</v>
      </c>
      <c r="D8" s="53"/>
      <c r="E8" s="53">
        <f t="shared" ref="E8:E17" si="4">C8+D8</f>
        <v>500000</v>
      </c>
      <c r="F8" s="53"/>
      <c r="G8" s="53">
        <f t="shared" si="0"/>
        <v>500000</v>
      </c>
      <c r="H8" s="53">
        <v>-500000</v>
      </c>
      <c r="I8" s="69">
        <f t="shared" si="1"/>
        <v>0</v>
      </c>
      <c r="J8" s="69">
        <v>450000</v>
      </c>
      <c r="K8" s="53">
        <f t="shared" si="2"/>
        <v>468900</v>
      </c>
      <c r="L8" s="176">
        <f t="shared" si="3"/>
        <v>489531.60000000003</v>
      </c>
      <c r="O8" s="190"/>
    </row>
    <row r="9" spans="1:19" x14ac:dyDescent="0.3">
      <c r="A9" s="52" t="s">
        <v>263</v>
      </c>
      <c r="B9" s="52" t="s">
        <v>397</v>
      </c>
      <c r="C9" s="53">
        <v>0</v>
      </c>
      <c r="D9" s="53">
        <v>150000</v>
      </c>
      <c r="E9" s="53">
        <f t="shared" si="4"/>
        <v>150000</v>
      </c>
      <c r="F9" s="53"/>
      <c r="G9" s="53">
        <f t="shared" si="0"/>
        <v>150000</v>
      </c>
      <c r="H9" s="53">
        <v>-37952.605714285717</v>
      </c>
      <c r="I9" s="69">
        <f t="shared" si="1"/>
        <v>112047.39428571428</v>
      </c>
      <c r="J9" s="69">
        <v>150000</v>
      </c>
      <c r="K9" s="53">
        <f t="shared" si="2"/>
        <v>156300</v>
      </c>
      <c r="L9" s="176">
        <f t="shared" si="3"/>
        <v>163177.20000000001</v>
      </c>
      <c r="O9" s="190"/>
      <c r="Q9" s="93">
        <f>M9/7*12</f>
        <v>0</v>
      </c>
      <c r="R9" s="93"/>
      <c r="S9" s="93">
        <f>Q9-I9</f>
        <v>-112047.39428571428</v>
      </c>
    </row>
    <row r="10" spans="1:19" x14ac:dyDescent="0.3">
      <c r="A10" s="52"/>
      <c r="B10" s="51" t="s">
        <v>478</v>
      </c>
      <c r="C10" s="53">
        <v>0</v>
      </c>
      <c r="D10" s="53"/>
      <c r="E10" s="53">
        <f t="shared" si="4"/>
        <v>0</v>
      </c>
      <c r="F10" s="53"/>
      <c r="G10" s="53">
        <f t="shared" si="0"/>
        <v>0</v>
      </c>
      <c r="H10" s="53"/>
      <c r="I10" s="69">
        <f t="shared" si="1"/>
        <v>0</v>
      </c>
      <c r="J10" s="69">
        <v>0</v>
      </c>
      <c r="K10" s="53">
        <f t="shared" si="2"/>
        <v>0</v>
      </c>
      <c r="L10" s="176">
        <f t="shared" si="3"/>
        <v>0</v>
      </c>
      <c r="O10" s="190"/>
    </row>
    <row r="11" spans="1:19" x14ac:dyDescent="0.3">
      <c r="A11" s="52" t="s">
        <v>262</v>
      </c>
      <c r="B11" s="52" t="s">
        <v>44</v>
      </c>
      <c r="C11" s="53">
        <v>1300000</v>
      </c>
      <c r="D11" s="53">
        <v>-150000</v>
      </c>
      <c r="E11" s="53">
        <f t="shared" si="4"/>
        <v>1150000</v>
      </c>
      <c r="F11" s="53"/>
      <c r="G11" s="53">
        <f t="shared" si="0"/>
        <v>1150000</v>
      </c>
      <c r="H11" s="53">
        <v>-100000</v>
      </c>
      <c r="I11" s="69">
        <f t="shared" si="1"/>
        <v>1050000</v>
      </c>
      <c r="J11" s="69">
        <v>1000000</v>
      </c>
      <c r="K11" s="53">
        <f t="shared" si="2"/>
        <v>1042000</v>
      </c>
      <c r="L11" s="176">
        <f t="shared" si="3"/>
        <v>1087848</v>
      </c>
      <c r="O11" s="190"/>
    </row>
    <row r="12" spans="1:19" x14ac:dyDescent="0.3">
      <c r="A12" s="52" t="s">
        <v>259</v>
      </c>
      <c r="B12" s="52" t="s">
        <v>42</v>
      </c>
      <c r="C12" s="53">
        <v>700000</v>
      </c>
      <c r="D12" s="53"/>
      <c r="E12" s="53">
        <f t="shared" si="4"/>
        <v>700000</v>
      </c>
      <c r="F12" s="53"/>
      <c r="G12" s="53">
        <f t="shared" si="0"/>
        <v>700000</v>
      </c>
      <c r="H12" s="53">
        <v>-100000</v>
      </c>
      <c r="I12" s="69">
        <f t="shared" si="1"/>
        <v>600000</v>
      </c>
      <c r="J12" s="69">
        <v>500000</v>
      </c>
      <c r="K12" s="53">
        <f t="shared" si="2"/>
        <v>521000</v>
      </c>
      <c r="L12" s="176">
        <f t="shared" si="3"/>
        <v>543924</v>
      </c>
      <c r="O12" s="190"/>
    </row>
    <row r="13" spans="1:19" x14ac:dyDescent="0.3">
      <c r="A13" s="52" t="s">
        <v>264</v>
      </c>
      <c r="B13" s="52" t="s">
        <v>265</v>
      </c>
      <c r="C13" s="53">
        <v>200000</v>
      </c>
      <c r="D13" s="53"/>
      <c r="E13" s="53">
        <f t="shared" si="4"/>
        <v>200000</v>
      </c>
      <c r="F13" s="53"/>
      <c r="G13" s="53">
        <f t="shared" si="0"/>
        <v>200000</v>
      </c>
      <c r="H13" s="53">
        <v>-100000</v>
      </c>
      <c r="I13" s="69">
        <f t="shared" si="1"/>
        <v>100000</v>
      </c>
      <c r="J13" s="69">
        <v>150000</v>
      </c>
      <c r="K13" s="53">
        <f t="shared" si="2"/>
        <v>156300</v>
      </c>
      <c r="L13" s="176">
        <f t="shared" si="3"/>
        <v>163177.20000000001</v>
      </c>
      <c r="O13" s="190"/>
    </row>
    <row r="14" spans="1:19" x14ac:dyDescent="0.3">
      <c r="A14" s="52" t="s">
        <v>266</v>
      </c>
      <c r="B14" s="52" t="s">
        <v>267</v>
      </c>
      <c r="C14" s="53">
        <v>50000</v>
      </c>
      <c r="D14" s="53"/>
      <c r="E14" s="53">
        <f t="shared" si="4"/>
        <v>50000</v>
      </c>
      <c r="F14" s="53"/>
      <c r="G14" s="53">
        <f t="shared" si="0"/>
        <v>50000</v>
      </c>
      <c r="H14" s="53"/>
      <c r="I14" s="69">
        <f t="shared" si="1"/>
        <v>50000</v>
      </c>
      <c r="J14" s="69">
        <v>50000</v>
      </c>
      <c r="K14" s="53">
        <f t="shared" si="2"/>
        <v>52100</v>
      </c>
      <c r="L14" s="176">
        <f t="shared" si="3"/>
        <v>54392.4</v>
      </c>
      <c r="O14" s="190"/>
    </row>
    <row r="15" spans="1:19" x14ac:dyDescent="0.3">
      <c r="A15" s="52" t="s">
        <v>260</v>
      </c>
      <c r="B15" s="52" t="s">
        <v>261</v>
      </c>
      <c r="C15" s="53">
        <v>200000</v>
      </c>
      <c r="D15" s="53"/>
      <c r="E15" s="53">
        <f t="shared" si="4"/>
        <v>200000</v>
      </c>
      <c r="F15" s="53"/>
      <c r="G15" s="53">
        <f t="shared" si="0"/>
        <v>200000</v>
      </c>
      <c r="H15" s="53"/>
      <c r="I15" s="69">
        <f t="shared" si="1"/>
        <v>200000</v>
      </c>
      <c r="J15" s="69">
        <v>200000</v>
      </c>
      <c r="K15" s="53">
        <f t="shared" si="2"/>
        <v>208400</v>
      </c>
      <c r="L15" s="176">
        <f t="shared" si="3"/>
        <v>217569.6</v>
      </c>
      <c r="O15" s="190"/>
    </row>
    <row r="16" spans="1:19" x14ac:dyDescent="0.3">
      <c r="A16" s="52"/>
      <c r="B16" s="52"/>
      <c r="C16" s="53">
        <v>0</v>
      </c>
      <c r="D16" s="53"/>
      <c r="E16" s="53">
        <f t="shared" si="4"/>
        <v>0</v>
      </c>
      <c r="F16" s="53"/>
      <c r="G16" s="53">
        <f t="shared" si="0"/>
        <v>0</v>
      </c>
      <c r="H16" s="53"/>
      <c r="I16" s="69">
        <f t="shared" si="1"/>
        <v>0</v>
      </c>
      <c r="J16" s="69">
        <v>0</v>
      </c>
      <c r="K16" s="53">
        <f t="shared" si="2"/>
        <v>0</v>
      </c>
      <c r="L16" s="176">
        <f t="shared" si="3"/>
        <v>0</v>
      </c>
      <c r="O16" s="190"/>
    </row>
    <row r="17" spans="1:16" ht="13.5" thickBot="1" x14ac:dyDescent="0.35">
      <c r="A17" s="52" t="s">
        <v>551</v>
      </c>
      <c r="B17" s="52" t="s">
        <v>500</v>
      </c>
      <c r="C17" s="53">
        <v>200000</v>
      </c>
      <c r="D17" s="53"/>
      <c r="E17" s="53">
        <f t="shared" si="4"/>
        <v>200000</v>
      </c>
      <c r="F17" s="53"/>
      <c r="G17" s="53">
        <f t="shared" si="0"/>
        <v>200000</v>
      </c>
      <c r="H17" s="53">
        <v>-200000</v>
      </c>
      <c r="I17" s="69">
        <f t="shared" si="1"/>
        <v>0</v>
      </c>
      <c r="J17" s="69">
        <v>200000</v>
      </c>
      <c r="K17" s="53">
        <f t="shared" si="2"/>
        <v>208400</v>
      </c>
      <c r="L17" s="176">
        <f t="shared" si="3"/>
        <v>217569.6</v>
      </c>
      <c r="O17" s="190"/>
    </row>
    <row r="18" spans="1:16" s="77" customFormat="1" ht="13.5" thickBot="1" x14ac:dyDescent="0.35">
      <c r="A18" s="57" t="s">
        <v>136</v>
      </c>
      <c r="B18" s="57"/>
      <c r="C18" s="59">
        <f>SUM(C7:C17)</f>
        <v>3230000</v>
      </c>
      <c r="D18" s="59">
        <f>SUM(D7:D17)</f>
        <v>0</v>
      </c>
      <c r="E18" s="59">
        <f>SUM(E7:E17)</f>
        <v>3230000</v>
      </c>
      <c r="F18" s="59">
        <f t="shared" ref="F18:L18" si="5">SUM(F7:F17)</f>
        <v>0</v>
      </c>
      <c r="G18" s="59">
        <f t="shared" si="5"/>
        <v>3230000</v>
      </c>
      <c r="H18" s="59">
        <f t="shared" si="5"/>
        <v>-1077952.6057142857</v>
      </c>
      <c r="I18" s="59">
        <f t="shared" si="5"/>
        <v>2152047.3942857143</v>
      </c>
      <c r="J18" s="59">
        <f t="shared" si="5"/>
        <v>2760000</v>
      </c>
      <c r="K18" s="59">
        <f t="shared" si="5"/>
        <v>2875920</v>
      </c>
      <c r="L18" s="59">
        <f t="shared" si="5"/>
        <v>3002460.48</v>
      </c>
      <c r="M18" s="180"/>
      <c r="N18" s="193"/>
      <c r="O18" s="193"/>
      <c r="P18" s="219"/>
    </row>
    <row r="19" spans="1:16" s="77" customFormat="1" ht="13.5" thickTop="1" x14ac:dyDescent="0.3">
      <c r="A19" s="60"/>
      <c r="B19" s="60"/>
      <c r="C19" s="78"/>
      <c r="D19" s="78"/>
      <c r="E19" s="78"/>
      <c r="F19" s="78"/>
      <c r="G19" s="53">
        <f t="shared" si="0"/>
        <v>0</v>
      </c>
      <c r="H19" s="62"/>
      <c r="I19" s="62"/>
      <c r="J19" s="62"/>
      <c r="K19" s="78"/>
      <c r="L19" s="178"/>
      <c r="M19" s="180"/>
      <c r="N19" s="193"/>
      <c r="O19" s="219"/>
      <c r="P19" s="219"/>
    </row>
    <row r="20" spans="1:16" x14ac:dyDescent="0.3">
      <c r="A20" s="51" t="s">
        <v>308</v>
      </c>
      <c r="B20" s="52"/>
      <c r="C20" s="53"/>
      <c r="D20" s="53"/>
      <c r="E20" s="53"/>
      <c r="F20" s="53"/>
      <c r="G20" s="53">
        <f t="shared" si="0"/>
        <v>0</v>
      </c>
      <c r="H20" s="53"/>
      <c r="I20" s="53"/>
      <c r="J20" s="53"/>
      <c r="K20" s="53"/>
      <c r="L20" s="176"/>
    </row>
    <row r="21" spans="1:16" x14ac:dyDescent="0.3">
      <c r="A21" s="52" t="s">
        <v>268</v>
      </c>
      <c r="B21" s="52" t="s">
        <v>269</v>
      </c>
      <c r="C21" s="53">
        <v>51741.092483999993</v>
      </c>
      <c r="D21" s="53"/>
      <c r="E21" s="53">
        <f t="shared" ref="E21:E40" si="6">C21+D21</f>
        <v>51741.092483999993</v>
      </c>
      <c r="F21" s="53"/>
      <c r="G21" s="53">
        <f t="shared" si="0"/>
        <v>51741.092483999993</v>
      </c>
      <c r="H21" s="53"/>
      <c r="I21" s="69">
        <f t="shared" ref="I21:I40" si="7">G21+H21</f>
        <v>51741.092483999993</v>
      </c>
      <c r="J21" s="69">
        <f>E21*104%</f>
        <v>53810.736183359993</v>
      </c>
      <c r="K21" s="53">
        <f t="shared" ref="K21:K40" si="8">J21*104.2%</f>
        <v>56070.787103061113</v>
      </c>
      <c r="L21" s="176">
        <f t="shared" ref="L21:L40" si="9">K21*104.4%</f>
        <v>58537.901735595806</v>
      </c>
      <c r="O21" s="190"/>
    </row>
    <row r="22" spans="1:16" x14ac:dyDescent="0.3">
      <c r="A22" s="52" t="s">
        <v>270</v>
      </c>
      <c r="B22" s="52" t="s">
        <v>271</v>
      </c>
      <c r="C22" s="53">
        <v>679321.12791600008</v>
      </c>
      <c r="D22" s="53"/>
      <c r="E22" s="53">
        <f t="shared" si="6"/>
        <v>679321.12791600008</v>
      </c>
      <c r="F22" s="53"/>
      <c r="G22" s="53">
        <f t="shared" si="0"/>
        <v>679321.12791600008</v>
      </c>
      <c r="H22" s="53"/>
      <c r="I22" s="69">
        <f t="shared" si="7"/>
        <v>679321.12791600008</v>
      </c>
      <c r="J22" s="69">
        <f t="shared" ref="J22:J40" si="10">E22*104%</f>
        <v>706493.97303264006</v>
      </c>
      <c r="K22" s="53">
        <f t="shared" si="8"/>
        <v>736166.71990001097</v>
      </c>
      <c r="L22" s="176">
        <f t="shared" si="9"/>
        <v>768558.05557561154</v>
      </c>
      <c r="O22" s="190"/>
    </row>
    <row r="23" spans="1:16" x14ac:dyDescent="0.3">
      <c r="A23" s="52" t="s">
        <v>272</v>
      </c>
      <c r="B23" s="52" t="s">
        <v>273</v>
      </c>
      <c r="C23" s="53">
        <v>54781.86</v>
      </c>
      <c r="D23" s="53"/>
      <c r="E23" s="53">
        <f t="shared" si="6"/>
        <v>54781.86</v>
      </c>
      <c r="F23" s="53"/>
      <c r="G23" s="53">
        <f t="shared" si="0"/>
        <v>54781.86</v>
      </c>
      <c r="H23" s="53"/>
      <c r="I23" s="69">
        <f t="shared" si="7"/>
        <v>54781.86</v>
      </c>
      <c r="J23" s="69">
        <f t="shared" si="10"/>
        <v>56973.134400000003</v>
      </c>
      <c r="K23" s="53">
        <f t="shared" si="8"/>
        <v>59366.006044800008</v>
      </c>
      <c r="L23" s="176">
        <f t="shared" si="9"/>
        <v>61978.110310771212</v>
      </c>
      <c r="O23" s="190"/>
    </row>
    <row r="24" spans="1:16" x14ac:dyDescent="0.3">
      <c r="A24" s="52" t="s">
        <v>276</v>
      </c>
      <c r="B24" s="52" t="s">
        <v>277</v>
      </c>
      <c r="C24" s="53">
        <v>637762.56545599992</v>
      </c>
      <c r="D24" s="53"/>
      <c r="E24" s="53">
        <f t="shared" si="6"/>
        <v>637762.56545599992</v>
      </c>
      <c r="F24" s="53"/>
      <c r="G24" s="53">
        <f t="shared" si="0"/>
        <v>637762.56545599992</v>
      </c>
      <c r="H24" s="53"/>
      <c r="I24" s="69">
        <f t="shared" si="7"/>
        <v>637762.56545599992</v>
      </c>
      <c r="J24" s="69">
        <f t="shared" si="10"/>
        <v>663273.06807424</v>
      </c>
      <c r="K24" s="53">
        <f t="shared" si="8"/>
        <v>691130.53693335806</v>
      </c>
      <c r="L24" s="176">
        <f t="shared" si="9"/>
        <v>721540.28055842582</v>
      </c>
      <c r="O24" s="190"/>
    </row>
    <row r="25" spans="1:16" x14ac:dyDescent="0.3">
      <c r="A25" s="52" t="s">
        <v>278</v>
      </c>
      <c r="B25" s="52" t="s">
        <v>279</v>
      </c>
      <c r="C25" s="53">
        <v>46275.360000000001</v>
      </c>
      <c r="D25" s="53"/>
      <c r="E25" s="53">
        <f t="shared" si="6"/>
        <v>46275.360000000001</v>
      </c>
      <c r="F25" s="53"/>
      <c r="G25" s="53">
        <f t="shared" si="0"/>
        <v>46275.360000000001</v>
      </c>
      <c r="H25" s="53"/>
      <c r="I25" s="69">
        <f t="shared" si="7"/>
        <v>46275.360000000001</v>
      </c>
      <c r="J25" s="69">
        <f t="shared" si="10"/>
        <v>48126.374400000001</v>
      </c>
      <c r="K25" s="53">
        <f t="shared" si="8"/>
        <v>50147.682124800005</v>
      </c>
      <c r="L25" s="176">
        <f t="shared" si="9"/>
        <v>52354.180138291209</v>
      </c>
      <c r="O25" s="190"/>
    </row>
    <row r="26" spans="1:16" x14ac:dyDescent="0.3">
      <c r="A26" s="52" t="s">
        <v>280</v>
      </c>
      <c r="B26" s="52" t="s">
        <v>281</v>
      </c>
      <c r="C26" s="53">
        <v>36445.929120000008</v>
      </c>
      <c r="D26" s="53"/>
      <c r="E26" s="53">
        <f t="shared" si="6"/>
        <v>36445.929120000008</v>
      </c>
      <c r="F26" s="53"/>
      <c r="G26" s="53">
        <f t="shared" si="0"/>
        <v>36445.929120000008</v>
      </c>
      <c r="H26" s="53"/>
      <c r="I26" s="69">
        <f t="shared" si="7"/>
        <v>36445.929120000008</v>
      </c>
      <c r="J26" s="69">
        <f t="shared" si="10"/>
        <v>37903.766284800011</v>
      </c>
      <c r="K26" s="53">
        <f t="shared" si="8"/>
        <v>39495.724468761611</v>
      </c>
      <c r="L26" s="176">
        <f t="shared" si="9"/>
        <v>41233.536345387125</v>
      </c>
      <c r="O26" s="190"/>
    </row>
    <row r="27" spans="1:16" x14ac:dyDescent="0.3">
      <c r="A27" s="52" t="s">
        <v>282</v>
      </c>
      <c r="B27" s="52" t="s">
        <v>283</v>
      </c>
      <c r="C27" s="53">
        <v>93340.93982400003</v>
      </c>
      <c r="D27" s="53"/>
      <c r="E27" s="53">
        <f t="shared" si="6"/>
        <v>93340.93982400003</v>
      </c>
      <c r="F27" s="53"/>
      <c r="G27" s="53">
        <f t="shared" si="0"/>
        <v>93340.93982400003</v>
      </c>
      <c r="H27" s="53"/>
      <c r="I27" s="69">
        <f t="shared" si="7"/>
        <v>93340.93982400003</v>
      </c>
      <c r="J27" s="69">
        <f t="shared" si="10"/>
        <v>97074.577416960034</v>
      </c>
      <c r="K27" s="53">
        <f t="shared" si="8"/>
        <v>101151.70966847237</v>
      </c>
      <c r="L27" s="176">
        <f t="shared" si="9"/>
        <v>105602.38489388516</v>
      </c>
      <c r="O27" s="190"/>
    </row>
    <row r="28" spans="1:16" x14ac:dyDescent="0.3">
      <c r="A28" s="52" t="s">
        <v>284</v>
      </c>
      <c r="B28" s="52" t="s">
        <v>285</v>
      </c>
      <c r="C28" s="53">
        <v>2835500</v>
      </c>
      <c r="D28" s="53"/>
      <c r="E28" s="53">
        <f t="shared" si="6"/>
        <v>2835500</v>
      </c>
      <c r="F28" s="53"/>
      <c r="G28" s="53">
        <f t="shared" si="0"/>
        <v>2835500</v>
      </c>
      <c r="H28" s="53"/>
      <c r="I28" s="69">
        <f t="shared" si="7"/>
        <v>2835500</v>
      </c>
      <c r="J28" s="69">
        <f t="shared" si="10"/>
        <v>2948920</v>
      </c>
      <c r="K28" s="53">
        <f t="shared" si="8"/>
        <v>3072774.64</v>
      </c>
      <c r="L28" s="176">
        <f t="shared" si="9"/>
        <v>3207976.7241600002</v>
      </c>
      <c r="O28" s="190"/>
    </row>
    <row r="29" spans="1:16" x14ac:dyDescent="0.3">
      <c r="A29" s="52" t="s">
        <v>286</v>
      </c>
      <c r="B29" s="52" t="s">
        <v>287</v>
      </c>
      <c r="C29" s="53">
        <v>185101.44</v>
      </c>
      <c r="D29" s="53"/>
      <c r="E29" s="53">
        <f t="shared" si="6"/>
        <v>185101.44</v>
      </c>
      <c r="F29" s="53"/>
      <c r="G29" s="53">
        <f t="shared" si="0"/>
        <v>185101.44</v>
      </c>
      <c r="H29" s="53"/>
      <c r="I29" s="69">
        <f t="shared" si="7"/>
        <v>185101.44</v>
      </c>
      <c r="J29" s="69">
        <f t="shared" si="10"/>
        <v>192505.4976</v>
      </c>
      <c r="K29" s="53">
        <f t="shared" si="8"/>
        <v>200590.72849920002</v>
      </c>
      <c r="L29" s="176">
        <f t="shared" si="9"/>
        <v>209416.72055316484</v>
      </c>
      <c r="O29" s="190"/>
    </row>
    <row r="30" spans="1:16" x14ac:dyDescent="0.3">
      <c r="A30" s="52" t="s">
        <v>288</v>
      </c>
      <c r="B30" s="52" t="s">
        <v>275</v>
      </c>
      <c r="C30" s="53">
        <v>0</v>
      </c>
      <c r="D30" s="53"/>
      <c r="E30" s="53">
        <f t="shared" si="6"/>
        <v>0</v>
      </c>
      <c r="F30" s="53"/>
      <c r="G30" s="53">
        <f t="shared" si="0"/>
        <v>0</v>
      </c>
      <c r="H30" s="53"/>
      <c r="I30" s="69">
        <f t="shared" si="7"/>
        <v>0</v>
      </c>
      <c r="J30" s="69">
        <f t="shared" si="10"/>
        <v>0</v>
      </c>
      <c r="K30" s="53">
        <f t="shared" si="8"/>
        <v>0</v>
      </c>
      <c r="L30" s="176">
        <f t="shared" si="9"/>
        <v>0</v>
      </c>
      <c r="O30" s="190"/>
    </row>
    <row r="31" spans="1:16" x14ac:dyDescent="0.3">
      <c r="A31" s="52" t="s">
        <v>289</v>
      </c>
      <c r="B31" s="52" t="s">
        <v>290</v>
      </c>
      <c r="C31" s="53">
        <v>340260</v>
      </c>
      <c r="D31" s="53"/>
      <c r="E31" s="53">
        <f t="shared" si="6"/>
        <v>340260</v>
      </c>
      <c r="F31" s="53"/>
      <c r="G31" s="53">
        <f t="shared" si="0"/>
        <v>340260</v>
      </c>
      <c r="H31" s="53"/>
      <c r="I31" s="69">
        <f t="shared" si="7"/>
        <v>340260</v>
      </c>
      <c r="J31" s="69">
        <f t="shared" si="10"/>
        <v>353870.4</v>
      </c>
      <c r="K31" s="53">
        <f t="shared" si="8"/>
        <v>368732.95680000004</v>
      </c>
      <c r="L31" s="176">
        <f t="shared" si="9"/>
        <v>384957.20689920004</v>
      </c>
      <c r="O31" s="190"/>
    </row>
    <row r="32" spans="1:16" x14ac:dyDescent="0.3">
      <c r="A32" s="52" t="s">
        <v>291</v>
      </c>
      <c r="B32" s="52" t="s">
        <v>292</v>
      </c>
      <c r="C32" s="53">
        <v>906204.70388000016</v>
      </c>
      <c r="D32" s="53"/>
      <c r="E32" s="53">
        <f t="shared" si="6"/>
        <v>906204.70388000016</v>
      </c>
      <c r="F32" s="53"/>
      <c r="G32" s="53">
        <f t="shared" si="0"/>
        <v>906204.70388000016</v>
      </c>
      <c r="H32" s="53"/>
      <c r="I32" s="69">
        <f t="shared" si="7"/>
        <v>906204.70388000016</v>
      </c>
      <c r="J32" s="69">
        <f t="shared" si="10"/>
        <v>942452.89203520014</v>
      </c>
      <c r="K32" s="53">
        <f t="shared" si="8"/>
        <v>982035.91350067861</v>
      </c>
      <c r="L32" s="176">
        <f t="shared" si="9"/>
        <v>1025245.4936947084</v>
      </c>
      <c r="O32" s="190"/>
    </row>
    <row r="33" spans="1:16" x14ac:dyDescent="0.3">
      <c r="A33" s="52" t="s">
        <v>293</v>
      </c>
      <c r="B33" s="52" t="s">
        <v>294</v>
      </c>
      <c r="C33" s="53">
        <v>46275.360000000001</v>
      </c>
      <c r="D33" s="53"/>
      <c r="E33" s="53">
        <f t="shared" si="6"/>
        <v>46275.360000000001</v>
      </c>
      <c r="F33" s="53"/>
      <c r="G33" s="53">
        <f t="shared" si="0"/>
        <v>46275.360000000001</v>
      </c>
      <c r="H33" s="53"/>
      <c r="I33" s="69">
        <f t="shared" si="7"/>
        <v>46275.360000000001</v>
      </c>
      <c r="J33" s="69">
        <f t="shared" si="10"/>
        <v>48126.374400000001</v>
      </c>
      <c r="K33" s="53">
        <f t="shared" si="8"/>
        <v>50147.682124800005</v>
      </c>
      <c r="L33" s="176">
        <f t="shared" si="9"/>
        <v>52354.180138291209</v>
      </c>
      <c r="O33" s="190"/>
    </row>
    <row r="34" spans="1:16" x14ac:dyDescent="0.3">
      <c r="A34" s="52" t="s">
        <v>295</v>
      </c>
      <c r="B34" s="52" t="s">
        <v>296</v>
      </c>
      <c r="C34" s="53">
        <v>39855.334320000016</v>
      </c>
      <c r="D34" s="53"/>
      <c r="E34" s="53">
        <f t="shared" si="6"/>
        <v>39855.334320000016</v>
      </c>
      <c r="F34" s="53"/>
      <c r="G34" s="53">
        <f t="shared" si="0"/>
        <v>39855.334320000016</v>
      </c>
      <c r="H34" s="53"/>
      <c r="I34" s="69">
        <f t="shared" si="7"/>
        <v>39855.334320000016</v>
      </c>
      <c r="J34" s="69">
        <f t="shared" si="10"/>
        <v>41449.547692800021</v>
      </c>
      <c r="K34" s="53">
        <f t="shared" si="8"/>
        <v>43190.428695897623</v>
      </c>
      <c r="L34" s="176">
        <f t="shared" si="9"/>
        <v>45090.807558517117</v>
      </c>
      <c r="O34" s="190"/>
    </row>
    <row r="35" spans="1:16" x14ac:dyDescent="0.3">
      <c r="A35" s="52" t="s">
        <v>297</v>
      </c>
      <c r="B35" s="52" t="s">
        <v>298</v>
      </c>
      <c r="C35" s="53">
        <v>7608562.8428640012</v>
      </c>
      <c r="D35" s="53"/>
      <c r="E35" s="53">
        <f t="shared" si="6"/>
        <v>7608562.8428640012</v>
      </c>
      <c r="F35" s="53"/>
      <c r="G35" s="53">
        <f t="shared" si="0"/>
        <v>7608562.8428640012</v>
      </c>
      <c r="H35" s="53"/>
      <c r="I35" s="69">
        <f t="shared" si="7"/>
        <v>7608562.8428640012</v>
      </c>
      <c r="J35" s="69">
        <f t="shared" si="10"/>
        <v>7912905.3565785615</v>
      </c>
      <c r="K35" s="53">
        <f t="shared" si="8"/>
        <v>8245247.3815548616</v>
      </c>
      <c r="L35" s="176">
        <f t="shared" si="9"/>
        <v>8608038.2663432751</v>
      </c>
      <c r="O35" s="190"/>
    </row>
    <row r="36" spans="1:16" x14ac:dyDescent="0.3">
      <c r="A36" s="52" t="s">
        <v>299</v>
      </c>
      <c r="B36" s="52" t="s">
        <v>300</v>
      </c>
      <c r="C36" s="53">
        <v>1388260.8</v>
      </c>
      <c r="D36" s="53"/>
      <c r="E36" s="53">
        <f t="shared" si="6"/>
        <v>1388260.8</v>
      </c>
      <c r="F36" s="53"/>
      <c r="G36" s="53">
        <f t="shared" si="0"/>
        <v>1388260.8</v>
      </c>
      <c r="H36" s="53"/>
      <c r="I36" s="69">
        <f t="shared" si="7"/>
        <v>1388260.8</v>
      </c>
      <c r="J36" s="69">
        <f t="shared" si="10"/>
        <v>1443791.2320000001</v>
      </c>
      <c r="K36" s="53">
        <f t="shared" si="8"/>
        <v>1504430.4637440001</v>
      </c>
      <c r="L36" s="176">
        <f t="shared" si="9"/>
        <v>1570625.404148736</v>
      </c>
      <c r="O36" s="190"/>
    </row>
    <row r="37" spans="1:16" x14ac:dyDescent="0.3">
      <c r="A37" s="52" t="s">
        <v>301</v>
      </c>
      <c r="B37" s="52" t="s">
        <v>274</v>
      </c>
      <c r="C37" s="53">
        <v>145220.08713200002</v>
      </c>
      <c r="D37" s="53"/>
      <c r="E37" s="53">
        <f t="shared" si="6"/>
        <v>145220.08713200002</v>
      </c>
      <c r="F37" s="53"/>
      <c r="G37" s="53">
        <f t="shared" si="0"/>
        <v>145220.08713200002</v>
      </c>
      <c r="H37" s="53"/>
      <c r="I37" s="69">
        <f t="shared" si="7"/>
        <v>145220.08713200002</v>
      </c>
      <c r="J37" s="69">
        <f t="shared" si="10"/>
        <v>151028.89061728003</v>
      </c>
      <c r="K37" s="53">
        <f t="shared" si="8"/>
        <v>157372.10402320581</v>
      </c>
      <c r="L37" s="176">
        <f t="shared" si="9"/>
        <v>164296.47660022689</v>
      </c>
      <c r="O37" s="190"/>
    </row>
    <row r="38" spans="1:16" x14ac:dyDescent="0.3">
      <c r="A38" s="52" t="s">
        <v>302</v>
      </c>
      <c r="B38" s="52" t="s">
        <v>303</v>
      </c>
      <c r="C38" s="53">
        <v>142840.01380000002</v>
      </c>
      <c r="D38" s="53"/>
      <c r="E38" s="53">
        <f t="shared" si="6"/>
        <v>142840.01380000002</v>
      </c>
      <c r="F38" s="53"/>
      <c r="G38" s="53">
        <f t="shared" si="0"/>
        <v>142840.01380000002</v>
      </c>
      <c r="H38" s="53"/>
      <c r="I38" s="69">
        <f t="shared" si="7"/>
        <v>142840.01380000002</v>
      </c>
      <c r="J38" s="69">
        <f t="shared" si="10"/>
        <v>148553.61435200003</v>
      </c>
      <c r="K38" s="53">
        <f t="shared" si="8"/>
        <v>154792.86615478405</v>
      </c>
      <c r="L38" s="176">
        <f t="shared" si="9"/>
        <v>161603.75226559455</v>
      </c>
      <c r="O38" s="190"/>
    </row>
    <row r="39" spans="1:16" x14ac:dyDescent="0.3">
      <c r="A39" s="52" t="s">
        <v>304</v>
      </c>
      <c r="B39" s="52" t="s">
        <v>305</v>
      </c>
      <c r="C39" s="53">
        <v>340260</v>
      </c>
      <c r="D39" s="53"/>
      <c r="E39" s="53">
        <f t="shared" si="6"/>
        <v>340260</v>
      </c>
      <c r="F39" s="53"/>
      <c r="G39" s="53">
        <f t="shared" si="0"/>
        <v>340260</v>
      </c>
      <c r="H39" s="53"/>
      <c r="I39" s="69">
        <f t="shared" si="7"/>
        <v>340260</v>
      </c>
      <c r="J39" s="69">
        <f t="shared" si="10"/>
        <v>353870.4</v>
      </c>
      <c r="K39" s="53">
        <f t="shared" si="8"/>
        <v>368732.95680000004</v>
      </c>
      <c r="L39" s="176">
        <f t="shared" si="9"/>
        <v>384957.20689920004</v>
      </c>
      <c r="O39" s="190"/>
    </row>
    <row r="40" spans="1:16" ht="13.5" thickBot="1" x14ac:dyDescent="0.35">
      <c r="A40" s="52" t="s">
        <v>306</v>
      </c>
      <c r="B40" s="52" t="s">
        <v>307</v>
      </c>
      <c r="C40" s="53">
        <v>668700.07080400025</v>
      </c>
      <c r="D40" s="53"/>
      <c r="E40" s="53">
        <f t="shared" si="6"/>
        <v>668700.07080400025</v>
      </c>
      <c r="F40" s="53"/>
      <c r="G40" s="53">
        <f t="shared" si="0"/>
        <v>668700.07080400025</v>
      </c>
      <c r="H40" s="53"/>
      <c r="I40" s="69">
        <f t="shared" si="7"/>
        <v>668700.07080400025</v>
      </c>
      <c r="J40" s="69">
        <f t="shared" si="10"/>
        <v>695448.07363616023</v>
      </c>
      <c r="K40" s="53">
        <f t="shared" si="8"/>
        <v>724656.892728879</v>
      </c>
      <c r="L40" s="176">
        <f t="shared" si="9"/>
        <v>756541.79600894975</v>
      </c>
      <c r="O40" s="190"/>
    </row>
    <row r="41" spans="1:16" s="77" customFormat="1" ht="13.5" thickBot="1" x14ac:dyDescent="0.35">
      <c r="A41" s="57" t="s">
        <v>309</v>
      </c>
      <c r="B41" s="57"/>
      <c r="C41" s="59">
        <f t="shared" ref="C41:L41" si="11">SUM(C21:C40)</f>
        <v>16246709.527600003</v>
      </c>
      <c r="D41" s="59">
        <f t="shared" si="11"/>
        <v>0</v>
      </c>
      <c r="E41" s="59">
        <f t="shared" si="11"/>
        <v>16246709.527600003</v>
      </c>
      <c r="F41" s="59">
        <f t="shared" si="11"/>
        <v>0</v>
      </c>
      <c r="G41" s="59">
        <f t="shared" si="11"/>
        <v>16246709.527600003</v>
      </c>
      <c r="H41" s="59">
        <f t="shared" si="11"/>
        <v>0</v>
      </c>
      <c r="I41" s="59">
        <f t="shared" si="11"/>
        <v>16246709.527600003</v>
      </c>
      <c r="J41" s="59">
        <f t="shared" si="11"/>
        <v>16896577.908704005</v>
      </c>
      <c r="K41" s="59">
        <f t="shared" si="11"/>
        <v>17606234.180869572</v>
      </c>
      <c r="L41" s="59">
        <f t="shared" si="11"/>
        <v>18380908.484827828</v>
      </c>
      <c r="M41" s="180"/>
      <c r="N41" s="193"/>
      <c r="O41" s="193"/>
      <c r="P41" s="219"/>
    </row>
    <row r="42" spans="1:16" ht="14" thickTop="1" thickBot="1" x14ac:dyDescent="0.35">
      <c r="A42" s="73"/>
      <c r="B42" s="73"/>
      <c r="C42" s="79"/>
      <c r="D42" s="79"/>
      <c r="E42" s="79"/>
      <c r="F42" s="79"/>
      <c r="G42" s="53">
        <f t="shared" si="0"/>
        <v>0</v>
      </c>
      <c r="H42" s="79"/>
      <c r="I42" s="79"/>
      <c r="J42" s="79"/>
      <c r="K42" s="79"/>
      <c r="L42" s="179"/>
    </row>
    <row r="43" spans="1:16" s="77" customFormat="1" ht="13.5" thickBot="1" x14ac:dyDescent="0.35">
      <c r="A43" s="109" t="s">
        <v>714</v>
      </c>
      <c r="B43" s="57"/>
      <c r="C43" s="59">
        <f>C41+C18</f>
        <v>19476709.527600005</v>
      </c>
      <c r="D43" s="59">
        <f t="shared" ref="D43:L43" si="12">D41+D18</f>
        <v>0</v>
      </c>
      <c r="E43" s="59">
        <f t="shared" si="12"/>
        <v>19476709.527600005</v>
      </c>
      <c r="F43" s="59">
        <f t="shared" si="12"/>
        <v>0</v>
      </c>
      <c r="G43" s="59">
        <f t="shared" si="12"/>
        <v>19476709.527600005</v>
      </c>
      <c r="H43" s="59">
        <f t="shared" si="12"/>
        <v>-1077952.6057142857</v>
      </c>
      <c r="I43" s="59">
        <f t="shared" si="12"/>
        <v>18398756.921885718</v>
      </c>
      <c r="J43" s="59">
        <f t="shared" si="12"/>
        <v>19656577.908704005</v>
      </c>
      <c r="K43" s="59">
        <f t="shared" si="12"/>
        <v>20482154.180869572</v>
      </c>
      <c r="L43" s="59">
        <f t="shared" si="12"/>
        <v>21383368.964827828</v>
      </c>
      <c r="M43" s="180"/>
      <c r="N43" s="193"/>
      <c r="O43" s="193"/>
      <c r="P43" s="219"/>
    </row>
    <row r="44" spans="1:16" ht="14" thickTop="1" thickBot="1" x14ac:dyDescent="0.35">
      <c r="A44" s="108"/>
      <c r="B44" s="73"/>
      <c r="C44" s="79"/>
      <c r="D44" s="79"/>
      <c r="E44" s="79"/>
      <c r="F44" s="79"/>
      <c r="G44" s="53">
        <f t="shared" si="0"/>
        <v>0</v>
      </c>
      <c r="H44" s="79"/>
      <c r="I44" s="79"/>
      <c r="J44" s="79"/>
      <c r="K44" s="79"/>
      <c r="L44" s="179"/>
    </row>
    <row r="45" spans="1:16" ht="13.5" thickBot="1" x14ac:dyDescent="0.35">
      <c r="A45" s="110" t="s">
        <v>692</v>
      </c>
      <c r="B45" s="70"/>
      <c r="C45" s="72">
        <f>C43</f>
        <v>19476709.527600005</v>
      </c>
      <c r="D45" s="72">
        <f t="shared" ref="D45:L45" si="13">D43</f>
        <v>0</v>
      </c>
      <c r="E45" s="72">
        <f t="shared" si="13"/>
        <v>19476709.527600005</v>
      </c>
      <c r="F45" s="72">
        <f t="shared" si="13"/>
        <v>0</v>
      </c>
      <c r="G45" s="72">
        <f t="shared" si="13"/>
        <v>19476709.527600005</v>
      </c>
      <c r="H45" s="72">
        <f t="shared" si="13"/>
        <v>-1077952.6057142857</v>
      </c>
      <c r="I45" s="72">
        <f t="shared" si="13"/>
        <v>18398756.921885718</v>
      </c>
      <c r="J45" s="72">
        <f t="shared" si="13"/>
        <v>19656577.908704005</v>
      </c>
      <c r="K45" s="72">
        <f t="shared" si="13"/>
        <v>20482154.180869572</v>
      </c>
      <c r="L45" s="72">
        <f t="shared" si="13"/>
        <v>21383368.964827828</v>
      </c>
      <c r="M45" s="180"/>
      <c r="N45" s="193"/>
      <c r="O45" s="193"/>
    </row>
    <row r="46" spans="1:16" ht="13.5" thickTop="1" x14ac:dyDescent="0.3"/>
  </sheetData>
  <sortState xmlns:xlrd2="http://schemas.microsoft.com/office/spreadsheetml/2017/richdata2" ref="A12:P18">
    <sortCondition ref="B12:B18"/>
  </sortState>
  <mergeCells count="1">
    <mergeCell ref="A2:L2"/>
  </mergeCells>
  <printOptions gridLines="1"/>
  <pageMargins left="0.70866141732283472" right="0.70866141732283472" top="0.74803149606299213" bottom="0.74803149606299213" header="0.31496062992125984" footer="0.31496062992125984"/>
  <pageSetup paperSize="9" scale="7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2:B12"/>
  <sheetViews>
    <sheetView workbookViewId="0">
      <selection activeCell="B9" sqref="B9"/>
    </sheetView>
  </sheetViews>
  <sheetFormatPr defaultRowHeight="14.5" x14ac:dyDescent="0.35"/>
  <cols>
    <col min="1" max="1" width="60.7265625" bestFit="1" customWidth="1"/>
    <col min="2" max="2" width="14" style="1" bestFit="1" customWidth="1"/>
  </cols>
  <sheetData>
    <row r="2" spans="1:2" x14ac:dyDescent="0.35">
      <c r="A2" t="s">
        <v>395</v>
      </c>
      <c r="B2" s="1">
        <v>14000000</v>
      </c>
    </row>
    <row r="3" spans="1:2" x14ac:dyDescent="0.35">
      <c r="A3" t="s">
        <v>432</v>
      </c>
      <c r="B3" s="1">
        <v>3200000</v>
      </c>
    </row>
    <row r="4" spans="1:2" x14ac:dyDescent="0.35">
      <c r="A4" t="s">
        <v>433</v>
      </c>
      <c r="B4" s="1">
        <v>8100000</v>
      </c>
    </row>
    <row r="5" spans="1:2" x14ac:dyDescent="0.35">
      <c r="A5" t="s">
        <v>373</v>
      </c>
      <c r="B5" s="1">
        <v>600000</v>
      </c>
    </row>
    <row r="6" spans="1:2" x14ac:dyDescent="0.35">
      <c r="A6" t="s">
        <v>362</v>
      </c>
      <c r="B6" s="1">
        <v>5700000</v>
      </c>
    </row>
    <row r="7" spans="1:2" x14ac:dyDescent="0.35">
      <c r="A7" t="s">
        <v>325</v>
      </c>
      <c r="B7" s="1">
        <v>700000</v>
      </c>
    </row>
    <row r="8" spans="1:2" x14ac:dyDescent="0.35">
      <c r="A8" t="s">
        <v>434</v>
      </c>
      <c r="B8" s="1">
        <v>400000</v>
      </c>
    </row>
    <row r="9" spans="1:2" x14ac:dyDescent="0.35">
      <c r="A9" t="s">
        <v>435</v>
      </c>
      <c r="B9" s="1">
        <f>3200000-720000</f>
        <v>2480000</v>
      </c>
    </row>
    <row r="10" spans="1:2" x14ac:dyDescent="0.35">
      <c r="B10" s="1">
        <f>SUM(B2:B9)</f>
        <v>35180000</v>
      </c>
    </row>
    <row r="11" spans="1:2" x14ac:dyDescent="0.35">
      <c r="B11" s="1">
        <v>26000000</v>
      </c>
    </row>
    <row r="12" spans="1:2" x14ac:dyDescent="0.35">
      <c r="B12" s="1">
        <f>B10-B11</f>
        <v>9180000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>
    <pageSetUpPr fitToPage="1"/>
  </sheetPr>
  <dimension ref="A1:P140"/>
  <sheetViews>
    <sheetView view="pageBreakPreview" zoomScale="80" zoomScaleNormal="80" zoomScaleSheetLayoutView="80" workbookViewId="0">
      <pane xSplit="2" ySplit="3" topLeftCell="E117" activePane="bottomRight" state="frozen"/>
      <selection activeCell="E140" sqref="E140"/>
      <selection pane="topRight" activeCell="E140" sqref="E140"/>
      <selection pane="bottomLeft" activeCell="E140" sqref="E140"/>
      <selection pane="bottomRight" activeCell="E140" sqref="E140"/>
    </sheetView>
  </sheetViews>
  <sheetFormatPr defaultColWidth="57" defaultRowHeight="13" x14ac:dyDescent="0.3"/>
  <cols>
    <col min="1" max="1" width="38.1796875" style="63" customWidth="1"/>
    <col min="2" max="2" width="40.1796875" style="63" customWidth="1"/>
    <col min="3" max="4" width="14.7265625" style="64" hidden="1" customWidth="1"/>
    <col min="5" max="5" width="13.453125" style="64" bestFit="1" customWidth="1"/>
    <col min="6" max="6" width="14.7265625" style="64" hidden="1" customWidth="1"/>
    <col min="7" max="7" width="13.7265625" style="64" bestFit="1" customWidth="1"/>
    <col min="8" max="8" width="11.7265625" style="64" hidden="1" customWidth="1"/>
    <col min="9" max="9" width="13.7265625" style="64" bestFit="1" customWidth="1"/>
    <col min="10" max="10" width="15.1796875" style="64" bestFit="1" customWidth="1"/>
    <col min="11" max="11" width="14.26953125" style="64" customWidth="1"/>
    <col min="12" max="12" width="14.26953125" style="64" bestFit="1" customWidth="1"/>
    <col min="13" max="13" width="17.453125" style="179" bestFit="1" customWidth="1"/>
    <col min="14" max="14" width="17.453125" style="190" customWidth="1"/>
    <col min="15" max="15" width="18.54296875" style="194" bestFit="1" customWidth="1"/>
    <col min="16" max="16" width="10.453125" style="190" bestFit="1" customWidth="1"/>
    <col min="17" max="16384" width="57" style="63"/>
  </cols>
  <sheetData>
    <row r="1" spans="1:15" ht="13.5" thickBot="1" x14ac:dyDescent="0.35">
      <c r="B1" s="231">
        <f>'2021 2022 DRAFT BUDGET SUMMARY'!J24</f>
        <v>-79111.445678055286</v>
      </c>
      <c r="C1" s="64">
        <f>'2021 2022 DRAFT BUDGET SUMMARY'!J24</f>
        <v>-79111.445678055286</v>
      </c>
    </row>
    <row r="2" spans="1:15" ht="13.5" thickBot="1" x14ac:dyDescent="0.35">
      <c r="A2" s="235" t="s">
        <v>1353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7"/>
    </row>
    <row r="3" spans="1:15" ht="39.5" thickBot="1" x14ac:dyDescent="0.35">
      <c r="A3" s="75" t="s">
        <v>0</v>
      </c>
      <c r="B3" s="75" t="s">
        <v>1</v>
      </c>
      <c r="C3" s="161" t="s">
        <v>669</v>
      </c>
      <c r="D3" s="161" t="s">
        <v>1219</v>
      </c>
      <c r="E3" s="161" t="s">
        <v>1220</v>
      </c>
      <c r="F3" s="161" t="s">
        <v>1284</v>
      </c>
      <c r="G3" s="161" t="s">
        <v>1322</v>
      </c>
      <c r="H3" s="161" t="s">
        <v>1284</v>
      </c>
      <c r="I3" s="161" t="s">
        <v>1323</v>
      </c>
      <c r="J3" s="161" t="s">
        <v>1356</v>
      </c>
      <c r="K3" s="161" t="s">
        <v>670</v>
      </c>
      <c r="L3" s="175" t="s">
        <v>671</v>
      </c>
      <c r="M3" s="191"/>
      <c r="N3" s="192"/>
      <c r="O3" s="192"/>
    </row>
    <row r="4" spans="1:15" x14ac:dyDescent="0.3">
      <c r="A4" s="60"/>
      <c r="B4" s="60"/>
      <c r="C4" s="66"/>
      <c r="D4" s="66"/>
      <c r="E4" s="66"/>
      <c r="F4" s="66"/>
      <c r="G4" s="66"/>
      <c r="H4" s="66"/>
      <c r="I4" s="66"/>
      <c r="J4" s="66"/>
      <c r="K4" s="66"/>
      <c r="L4" s="206"/>
    </row>
    <row r="5" spans="1:15" ht="15" customHeight="1" x14ac:dyDescent="0.3">
      <c r="A5" s="50" t="s">
        <v>675</v>
      </c>
      <c r="B5" s="50"/>
      <c r="C5" s="50"/>
      <c r="D5" s="50"/>
      <c r="E5" s="50"/>
      <c r="F5" s="50"/>
      <c r="G5" s="50"/>
      <c r="H5" s="50"/>
      <c r="I5" s="50"/>
      <c r="J5" s="50"/>
      <c r="K5" s="50"/>
      <c r="L5" s="89"/>
    </row>
    <row r="6" spans="1:15" x14ac:dyDescent="0.3">
      <c r="A6" s="50" t="s">
        <v>458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89"/>
    </row>
    <row r="7" spans="1:15" x14ac:dyDescent="0.3">
      <c r="A7" s="51"/>
      <c r="B7" s="51" t="s">
        <v>495</v>
      </c>
      <c r="C7" s="53"/>
      <c r="D7" s="53"/>
      <c r="E7" s="53"/>
      <c r="F7" s="53"/>
      <c r="G7" s="53"/>
      <c r="H7" s="53"/>
      <c r="I7" s="53"/>
      <c r="J7" s="53"/>
      <c r="K7" s="53"/>
      <c r="L7" s="176"/>
    </row>
    <row r="8" spans="1:15" x14ac:dyDescent="0.3">
      <c r="A8" s="52" t="s">
        <v>558</v>
      </c>
      <c r="B8" s="52" t="s">
        <v>530</v>
      </c>
      <c r="C8" s="53">
        <v>1400000</v>
      </c>
      <c r="D8" s="53"/>
      <c r="E8" s="53">
        <f>C8+D8</f>
        <v>1400000</v>
      </c>
      <c r="F8" s="53"/>
      <c r="G8" s="53">
        <f t="shared" ref="G8:G82" si="0">E8+F8</f>
        <v>1400000</v>
      </c>
      <c r="H8" s="53">
        <v>-1400000</v>
      </c>
      <c r="I8" s="69">
        <f t="shared" ref="I8:I41" si="1">G8+H8</f>
        <v>0</v>
      </c>
      <c r="J8" s="225">
        <v>1200000</v>
      </c>
      <c r="K8" s="53">
        <f t="shared" ref="K8:K40" si="2">J8*104.2%</f>
        <v>1250400</v>
      </c>
      <c r="L8" s="176">
        <f t="shared" ref="L8:L40" si="3">K8*104.4%</f>
        <v>1305417.6000000001</v>
      </c>
      <c r="O8" s="190"/>
    </row>
    <row r="9" spans="1:15" x14ac:dyDescent="0.3">
      <c r="A9" s="52" t="s">
        <v>533</v>
      </c>
      <c r="B9" s="52" t="s">
        <v>531</v>
      </c>
      <c r="C9" s="53">
        <v>250000</v>
      </c>
      <c r="D9" s="53"/>
      <c r="E9" s="53">
        <f t="shared" ref="E9:E82" si="4">C9+D9</f>
        <v>250000</v>
      </c>
      <c r="F9" s="53"/>
      <c r="G9" s="53">
        <f t="shared" si="0"/>
        <v>250000</v>
      </c>
      <c r="H9" s="53">
        <v>-250000</v>
      </c>
      <c r="I9" s="69">
        <f t="shared" si="1"/>
        <v>0</v>
      </c>
      <c r="J9" s="225">
        <v>150000</v>
      </c>
      <c r="K9" s="53">
        <f t="shared" si="2"/>
        <v>156300</v>
      </c>
      <c r="L9" s="176">
        <f t="shared" si="3"/>
        <v>163177.20000000001</v>
      </c>
      <c r="O9" s="190"/>
    </row>
    <row r="10" spans="1:15" x14ac:dyDescent="0.3">
      <c r="A10" s="52" t="s">
        <v>534</v>
      </c>
      <c r="B10" s="52" t="s">
        <v>532</v>
      </c>
      <c r="C10" s="53">
        <v>200000</v>
      </c>
      <c r="D10" s="53"/>
      <c r="E10" s="53">
        <f t="shared" si="4"/>
        <v>200000</v>
      </c>
      <c r="F10" s="53"/>
      <c r="G10" s="53">
        <f t="shared" si="0"/>
        <v>200000</v>
      </c>
      <c r="H10" s="53">
        <v>-200000</v>
      </c>
      <c r="I10" s="69">
        <f t="shared" si="1"/>
        <v>0</v>
      </c>
      <c r="J10" s="225">
        <v>150000</v>
      </c>
      <c r="K10" s="53">
        <f t="shared" si="2"/>
        <v>156300</v>
      </c>
      <c r="L10" s="176">
        <f t="shared" si="3"/>
        <v>163177.20000000001</v>
      </c>
      <c r="O10" s="190"/>
    </row>
    <row r="11" spans="1:15" x14ac:dyDescent="0.3">
      <c r="A11" s="52"/>
      <c r="B11" s="52"/>
      <c r="C11" s="53">
        <v>0</v>
      </c>
      <c r="D11" s="53"/>
      <c r="E11" s="53">
        <f t="shared" si="4"/>
        <v>0</v>
      </c>
      <c r="F11" s="53"/>
      <c r="G11" s="53">
        <f t="shared" si="0"/>
        <v>0</v>
      </c>
      <c r="H11" s="53"/>
      <c r="I11" s="69">
        <f t="shared" si="1"/>
        <v>0</v>
      </c>
      <c r="J11" s="69"/>
      <c r="K11" s="53">
        <f t="shared" si="2"/>
        <v>0</v>
      </c>
      <c r="L11" s="176">
        <f t="shared" si="3"/>
        <v>0</v>
      </c>
      <c r="O11" s="190"/>
    </row>
    <row r="12" spans="1:15" x14ac:dyDescent="0.3">
      <c r="A12" s="52"/>
      <c r="B12" s="51" t="s">
        <v>494</v>
      </c>
      <c r="C12" s="53">
        <v>0</v>
      </c>
      <c r="D12" s="53"/>
      <c r="E12" s="53">
        <f t="shared" si="4"/>
        <v>0</v>
      </c>
      <c r="F12" s="53"/>
      <c r="G12" s="53">
        <f t="shared" si="0"/>
        <v>0</v>
      </c>
      <c r="H12" s="53"/>
      <c r="I12" s="69">
        <f t="shared" si="1"/>
        <v>0</v>
      </c>
      <c r="J12" s="69"/>
      <c r="K12" s="53">
        <f t="shared" si="2"/>
        <v>0</v>
      </c>
      <c r="L12" s="176">
        <f t="shared" si="3"/>
        <v>0</v>
      </c>
      <c r="O12" s="190"/>
    </row>
    <row r="13" spans="1:15" x14ac:dyDescent="0.3">
      <c r="A13" s="52" t="s">
        <v>540</v>
      </c>
      <c r="B13" s="52" t="s">
        <v>535</v>
      </c>
      <c r="C13" s="53">
        <v>300000</v>
      </c>
      <c r="D13" s="53"/>
      <c r="E13" s="53">
        <f t="shared" si="4"/>
        <v>300000</v>
      </c>
      <c r="F13" s="53"/>
      <c r="G13" s="53">
        <f t="shared" si="0"/>
        <v>300000</v>
      </c>
      <c r="H13" s="53">
        <v>-105000</v>
      </c>
      <c r="I13" s="69">
        <f t="shared" si="1"/>
        <v>195000</v>
      </c>
      <c r="J13" s="69">
        <v>30000</v>
      </c>
      <c r="K13" s="53">
        <f t="shared" si="2"/>
        <v>31260</v>
      </c>
      <c r="L13" s="176">
        <f t="shared" si="3"/>
        <v>32635.440000000002</v>
      </c>
      <c r="O13" s="190"/>
    </row>
    <row r="14" spans="1:15" x14ac:dyDescent="0.3">
      <c r="A14" s="52" t="s">
        <v>539</v>
      </c>
      <c r="B14" s="52" t="s">
        <v>536</v>
      </c>
      <c r="C14" s="53">
        <v>30000</v>
      </c>
      <c r="D14" s="53"/>
      <c r="E14" s="53">
        <f t="shared" si="4"/>
        <v>30000</v>
      </c>
      <c r="F14" s="53"/>
      <c r="G14" s="53">
        <f t="shared" si="0"/>
        <v>30000</v>
      </c>
      <c r="H14" s="53">
        <v>-490</v>
      </c>
      <c r="I14" s="69">
        <f t="shared" si="1"/>
        <v>29510</v>
      </c>
      <c r="J14" s="69">
        <v>30000</v>
      </c>
      <c r="K14" s="53">
        <f t="shared" si="2"/>
        <v>31260</v>
      </c>
      <c r="L14" s="176">
        <f t="shared" si="3"/>
        <v>32635.440000000002</v>
      </c>
      <c r="O14" s="190"/>
    </row>
    <row r="15" spans="1:15" x14ac:dyDescent="0.3">
      <c r="A15" s="52" t="s">
        <v>538</v>
      </c>
      <c r="B15" s="52" t="s">
        <v>537</v>
      </c>
      <c r="C15" s="53">
        <v>80000</v>
      </c>
      <c r="D15" s="53"/>
      <c r="E15" s="53">
        <f t="shared" si="4"/>
        <v>80000</v>
      </c>
      <c r="F15" s="53"/>
      <c r="G15" s="53">
        <f t="shared" si="0"/>
        <v>80000</v>
      </c>
      <c r="H15" s="53">
        <v>90145</v>
      </c>
      <c r="I15" s="69">
        <f t="shared" si="1"/>
        <v>170145</v>
      </c>
      <c r="J15" s="69">
        <v>60000</v>
      </c>
      <c r="K15" s="53">
        <f t="shared" si="2"/>
        <v>62520</v>
      </c>
      <c r="L15" s="176">
        <f t="shared" si="3"/>
        <v>65270.880000000005</v>
      </c>
      <c r="O15" s="190"/>
    </row>
    <row r="16" spans="1:15" x14ac:dyDescent="0.3">
      <c r="A16" s="52"/>
      <c r="B16" s="52"/>
      <c r="C16" s="53">
        <v>0</v>
      </c>
      <c r="D16" s="53"/>
      <c r="E16" s="53">
        <f t="shared" si="4"/>
        <v>0</v>
      </c>
      <c r="F16" s="53"/>
      <c r="G16" s="53">
        <f t="shared" si="0"/>
        <v>0</v>
      </c>
      <c r="H16" s="53"/>
      <c r="I16" s="69">
        <f t="shared" si="1"/>
        <v>0</v>
      </c>
      <c r="J16" s="69"/>
      <c r="K16" s="53">
        <f t="shared" si="2"/>
        <v>0</v>
      </c>
      <c r="L16" s="176">
        <f t="shared" si="3"/>
        <v>0</v>
      </c>
      <c r="O16" s="190"/>
    </row>
    <row r="17" spans="1:15" x14ac:dyDescent="0.3">
      <c r="A17" s="52"/>
      <c r="B17" s="51" t="s">
        <v>479</v>
      </c>
      <c r="C17" s="53">
        <v>0</v>
      </c>
      <c r="D17" s="53"/>
      <c r="E17" s="53">
        <f t="shared" si="4"/>
        <v>0</v>
      </c>
      <c r="F17" s="53"/>
      <c r="G17" s="53">
        <f t="shared" si="0"/>
        <v>0</v>
      </c>
      <c r="H17" s="53"/>
      <c r="I17" s="69">
        <f t="shared" si="1"/>
        <v>0</v>
      </c>
      <c r="J17" s="69"/>
      <c r="K17" s="53">
        <f t="shared" si="2"/>
        <v>0</v>
      </c>
      <c r="L17" s="176">
        <f t="shared" si="3"/>
        <v>0</v>
      </c>
      <c r="O17" s="190"/>
    </row>
    <row r="18" spans="1:15" x14ac:dyDescent="0.3">
      <c r="A18" s="52" t="s">
        <v>335</v>
      </c>
      <c r="B18" s="52" t="s">
        <v>496</v>
      </c>
      <c r="C18" s="53">
        <v>300000</v>
      </c>
      <c r="D18" s="53"/>
      <c r="E18" s="53">
        <f t="shared" si="4"/>
        <v>300000</v>
      </c>
      <c r="F18" s="53"/>
      <c r="G18" s="53">
        <f t="shared" si="0"/>
        <v>300000</v>
      </c>
      <c r="H18" s="53">
        <v>-72500</v>
      </c>
      <c r="I18" s="69">
        <f t="shared" si="1"/>
        <v>227500</v>
      </c>
      <c r="J18" s="225">
        <v>200000</v>
      </c>
      <c r="K18" s="53">
        <f t="shared" si="2"/>
        <v>208400</v>
      </c>
      <c r="L18" s="176">
        <f t="shared" si="3"/>
        <v>217569.6</v>
      </c>
      <c r="O18" s="190"/>
    </row>
    <row r="19" spans="1:15" x14ac:dyDescent="0.3">
      <c r="A19" s="52" t="s">
        <v>544</v>
      </c>
      <c r="B19" s="52" t="s">
        <v>541</v>
      </c>
      <c r="C19" s="53">
        <v>500000</v>
      </c>
      <c r="D19" s="53"/>
      <c r="E19" s="53">
        <f t="shared" si="4"/>
        <v>500000</v>
      </c>
      <c r="F19" s="53"/>
      <c r="G19" s="53">
        <f t="shared" si="0"/>
        <v>500000</v>
      </c>
      <c r="H19" s="53">
        <f>300000+7025</f>
        <v>307025</v>
      </c>
      <c r="I19" s="69">
        <f t="shared" si="1"/>
        <v>807025</v>
      </c>
      <c r="J19" s="225">
        <v>200000</v>
      </c>
      <c r="K19" s="53">
        <f t="shared" si="2"/>
        <v>208400</v>
      </c>
      <c r="L19" s="176">
        <f t="shared" si="3"/>
        <v>217569.6</v>
      </c>
      <c r="O19" s="190"/>
    </row>
    <row r="20" spans="1:15" x14ac:dyDescent="0.3">
      <c r="A20" s="52" t="s">
        <v>543</v>
      </c>
      <c r="B20" s="52" t="s">
        <v>542</v>
      </c>
      <c r="C20" s="53">
        <v>400000</v>
      </c>
      <c r="D20" s="53"/>
      <c r="E20" s="53">
        <f t="shared" si="4"/>
        <v>400000</v>
      </c>
      <c r="F20" s="53"/>
      <c r="G20" s="53">
        <f t="shared" si="0"/>
        <v>400000</v>
      </c>
      <c r="H20" s="53"/>
      <c r="I20" s="69">
        <f t="shared" si="1"/>
        <v>400000</v>
      </c>
      <c r="J20" s="225">
        <v>150000</v>
      </c>
      <c r="K20" s="53">
        <f t="shared" si="2"/>
        <v>156300</v>
      </c>
      <c r="L20" s="176">
        <f t="shared" si="3"/>
        <v>163177.20000000001</v>
      </c>
      <c r="O20" s="190"/>
    </row>
    <row r="21" spans="1:15" x14ac:dyDescent="0.3">
      <c r="A21" s="52" t="s">
        <v>310</v>
      </c>
      <c r="B21" s="52" t="s">
        <v>497</v>
      </c>
      <c r="C21" s="53">
        <v>400000</v>
      </c>
      <c r="D21" s="53"/>
      <c r="E21" s="53">
        <f t="shared" si="4"/>
        <v>400000</v>
      </c>
      <c r="F21" s="53"/>
      <c r="G21" s="53">
        <f t="shared" si="0"/>
        <v>400000</v>
      </c>
      <c r="H21" s="53">
        <v>41290.879999999997</v>
      </c>
      <c r="I21" s="69">
        <f t="shared" si="1"/>
        <v>441290.88</v>
      </c>
      <c r="J21" s="225">
        <v>250000</v>
      </c>
      <c r="K21" s="53">
        <f t="shared" si="2"/>
        <v>260500</v>
      </c>
      <c r="L21" s="176">
        <f t="shared" si="3"/>
        <v>271962</v>
      </c>
      <c r="O21" s="190"/>
    </row>
    <row r="22" spans="1:15" x14ac:dyDescent="0.3">
      <c r="A22" s="52"/>
      <c r="B22" s="52"/>
      <c r="C22" s="53"/>
      <c r="D22" s="53"/>
      <c r="E22" s="53">
        <f t="shared" si="4"/>
        <v>0</v>
      </c>
      <c r="F22" s="53"/>
      <c r="G22" s="53">
        <f t="shared" si="0"/>
        <v>0</v>
      </c>
      <c r="H22" s="53"/>
      <c r="I22" s="69">
        <f t="shared" si="1"/>
        <v>0</v>
      </c>
      <c r="J22" s="69"/>
      <c r="K22" s="53">
        <f t="shared" si="2"/>
        <v>0</v>
      </c>
      <c r="L22" s="176">
        <f t="shared" si="3"/>
        <v>0</v>
      </c>
      <c r="O22" s="190"/>
    </row>
    <row r="23" spans="1:15" x14ac:dyDescent="0.3">
      <c r="A23" s="52"/>
      <c r="B23" s="51" t="s">
        <v>480</v>
      </c>
      <c r="C23" s="53">
        <v>0</v>
      </c>
      <c r="D23" s="53"/>
      <c r="E23" s="53">
        <f t="shared" si="4"/>
        <v>0</v>
      </c>
      <c r="F23" s="53"/>
      <c r="G23" s="53">
        <f t="shared" si="0"/>
        <v>0</v>
      </c>
      <c r="H23" s="53"/>
      <c r="I23" s="69">
        <f t="shared" si="1"/>
        <v>0</v>
      </c>
      <c r="J23" s="69"/>
      <c r="K23" s="53">
        <f t="shared" si="2"/>
        <v>0</v>
      </c>
      <c r="L23" s="176">
        <f t="shared" si="3"/>
        <v>0</v>
      </c>
      <c r="O23" s="190"/>
    </row>
    <row r="24" spans="1:15" x14ac:dyDescent="0.3">
      <c r="A24" s="52" t="s">
        <v>322</v>
      </c>
      <c r="B24" s="52" t="s">
        <v>323</v>
      </c>
      <c r="C24" s="53">
        <v>50000</v>
      </c>
      <c r="D24" s="53"/>
      <c r="E24" s="53">
        <f t="shared" si="4"/>
        <v>50000</v>
      </c>
      <c r="F24" s="53"/>
      <c r="G24" s="53">
        <f t="shared" si="0"/>
        <v>50000</v>
      </c>
      <c r="H24" s="53">
        <v>-7025</v>
      </c>
      <c r="I24" s="69">
        <f t="shared" si="1"/>
        <v>42975</v>
      </c>
      <c r="J24" s="69">
        <v>30000</v>
      </c>
      <c r="K24" s="53">
        <f t="shared" si="2"/>
        <v>31260</v>
      </c>
      <c r="L24" s="176">
        <f t="shared" si="3"/>
        <v>32635.440000000002</v>
      </c>
      <c r="O24" s="190"/>
    </row>
    <row r="25" spans="1:15" x14ac:dyDescent="0.3">
      <c r="A25" s="52" t="s">
        <v>320</v>
      </c>
      <c r="B25" s="52" t="s">
        <v>321</v>
      </c>
      <c r="C25" s="53">
        <v>300000</v>
      </c>
      <c r="D25" s="53"/>
      <c r="E25" s="53">
        <f t="shared" si="4"/>
        <v>300000</v>
      </c>
      <c r="F25" s="53"/>
      <c r="G25" s="53">
        <f t="shared" si="0"/>
        <v>300000</v>
      </c>
      <c r="H25" s="53">
        <v>90000</v>
      </c>
      <c r="I25" s="69">
        <f t="shared" si="1"/>
        <v>390000</v>
      </c>
      <c r="J25" s="69">
        <v>60000</v>
      </c>
      <c r="K25" s="53">
        <f t="shared" si="2"/>
        <v>62520</v>
      </c>
      <c r="L25" s="176">
        <f t="shared" si="3"/>
        <v>65270.880000000005</v>
      </c>
      <c r="O25" s="190"/>
    </row>
    <row r="26" spans="1:15" x14ac:dyDescent="0.3">
      <c r="A26" s="52" t="s">
        <v>664</v>
      </c>
      <c r="B26" s="52" t="s">
        <v>654</v>
      </c>
      <c r="C26" s="53">
        <v>100000</v>
      </c>
      <c r="D26" s="53"/>
      <c r="E26" s="53">
        <f t="shared" si="4"/>
        <v>100000</v>
      </c>
      <c r="F26" s="53"/>
      <c r="G26" s="53">
        <f t="shared" si="0"/>
        <v>100000</v>
      </c>
      <c r="H26" s="53">
        <v>-50000</v>
      </c>
      <c r="I26" s="69">
        <f t="shared" si="1"/>
        <v>50000</v>
      </c>
      <c r="J26" s="69">
        <v>30000</v>
      </c>
      <c r="K26" s="53">
        <f t="shared" si="2"/>
        <v>31260</v>
      </c>
      <c r="L26" s="176">
        <f t="shared" si="3"/>
        <v>32635.440000000002</v>
      </c>
      <c r="O26" s="190"/>
    </row>
    <row r="27" spans="1:15" x14ac:dyDescent="0.3">
      <c r="A27" s="52" t="s">
        <v>456</v>
      </c>
      <c r="B27" s="52" t="s">
        <v>498</v>
      </c>
      <c r="C27" s="53">
        <v>300000</v>
      </c>
      <c r="D27" s="53"/>
      <c r="E27" s="53">
        <f t="shared" si="4"/>
        <v>300000</v>
      </c>
      <c r="F27" s="53"/>
      <c r="G27" s="53">
        <f t="shared" si="0"/>
        <v>300000</v>
      </c>
      <c r="H27" s="53">
        <f>100000-100000-100000</f>
        <v>-100000</v>
      </c>
      <c r="I27" s="69">
        <f t="shared" si="1"/>
        <v>200000</v>
      </c>
      <c r="J27" s="69">
        <v>200000</v>
      </c>
      <c r="K27" s="53">
        <f t="shared" si="2"/>
        <v>208400</v>
      </c>
      <c r="L27" s="176">
        <f t="shared" si="3"/>
        <v>217569.6</v>
      </c>
      <c r="O27" s="190"/>
    </row>
    <row r="28" spans="1:15" x14ac:dyDescent="0.3">
      <c r="A28" s="52" t="s">
        <v>1187</v>
      </c>
      <c r="B28" s="52" t="s">
        <v>676</v>
      </c>
      <c r="C28" s="53">
        <v>80000</v>
      </c>
      <c r="D28" s="53"/>
      <c r="E28" s="53">
        <f t="shared" si="4"/>
        <v>80000</v>
      </c>
      <c r="F28" s="53"/>
      <c r="G28" s="53">
        <f t="shared" si="0"/>
        <v>80000</v>
      </c>
      <c r="H28" s="53"/>
      <c r="I28" s="69">
        <f t="shared" si="1"/>
        <v>80000</v>
      </c>
      <c r="J28" s="69"/>
      <c r="K28" s="53">
        <f t="shared" si="2"/>
        <v>0</v>
      </c>
      <c r="L28" s="176">
        <f t="shared" si="3"/>
        <v>0</v>
      </c>
      <c r="O28" s="190"/>
    </row>
    <row r="29" spans="1:15" x14ac:dyDescent="0.3">
      <c r="A29" s="52"/>
      <c r="B29" s="52"/>
      <c r="C29" s="53"/>
      <c r="D29" s="53"/>
      <c r="E29" s="53">
        <f t="shared" si="4"/>
        <v>0</v>
      </c>
      <c r="F29" s="53"/>
      <c r="G29" s="53">
        <f t="shared" si="0"/>
        <v>0</v>
      </c>
      <c r="H29" s="53"/>
      <c r="I29" s="69">
        <f t="shared" si="1"/>
        <v>0</v>
      </c>
      <c r="J29" s="69"/>
      <c r="K29" s="53">
        <f t="shared" si="2"/>
        <v>0</v>
      </c>
      <c r="L29" s="176">
        <f t="shared" si="3"/>
        <v>0</v>
      </c>
      <c r="O29" s="190"/>
    </row>
    <row r="30" spans="1:15" x14ac:dyDescent="0.3">
      <c r="A30" s="52"/>
      <c r="B30" s="51" t="s">
        <v>481</v>
      </c>
      <c r="C30" s="53">
        <v>0</v>
      </c>
      <c r="D30" s="53"/>
      <c r="E30" s="53">
        <f t="shared" si="4"/>
        <v>0</v>
      </c>
      <c r="F30" s="53"/>
      <c r="G30" s="53">
        <f t="shared" si="0"/>
        <v>0</v>
      </c>
      <c r="H30" s="53"/>
      <c r="I30" s="69">
        <f t="shared" si="1"/>
        <v>0</v>
      </c>
      <c r="J30" s="69"/>
      <c r="K30" s="53">
        <f t="shared" si="2"/>
        <v>0</v>
      </c>
      <c r="L30" s="176">
        <f t="shared" si="3"/>
        <v>0</v>
      </c>
      <c r="O30" s="190"/>
    </row>
    <row r="31" spans="1:15" x14ac:dyDescent="0.3">
      <c r="A31" s="52" t="s">
        <v>311</v>
      </c>
      <c r="B31" s="52" t="s">
        <v>312</v>
      </c>
      <c r="C31" s="53">
        <v>50000</v>
      </c>
      <c r="D31" s="53"/>
      <c r="E31" s="53">
        <f t="shared" si="4"/>
        <v>50000</v>
      </c>
      <c r="F31" s="53"/>
      <c r="G31" s="53">
        <f t="shared" si="0"/>
        <v>50000</v>
      </c>
      <c r="H31" s="53"/>
      <c r="I31" s="69">
        <f t="shared" si="1"/>
        <v>50000</v>
      </c>
      <c r="J31" s="69">
        <v>20000</v>
      </c>
      <c r="K31" s="53">
        <f t="shared" si="2"/>
        <v>20840</v>
      </c>
      <c r="L31" s="176">
        <f t="shared" si="3"/>
        <v>21756.959999999999</v>
      </c>
      <c r="O31" s="190"/>
    </row>
    <row r="32" spans="1:15" x14ac:dyDescent="0.3">
      <c r="A32" s="52" t="s">
        <v>315</v>
      </c>
      <c r="B32" s="52" t="s">
        <v>316</v>
      </c>
      <c r="C32" s="53">
        <v>60000</v>
      </c>
      <c r="D32" s="53"/>
      <c r="E32" s="53">
        <f t="shared" si="4"/>
        <v>60000</v>
      </c>
      <c r="F32" s="53"/>
      <c r="G32" s="53">
        <f t="shared" si="0"/>
        <v>60000</v>
      </c>
      <c r="H32" s="53"/>
      <c r="I32" s="69">
        <f t="shared" si="1"/>
        <v>60000</v>
      </c>
      <c r="J32" s="69">
        <v>80000</v>
      </c>
      <c r="K32" s="53">
        <f t="shared" si="2"/>
        <v>83360</v>
      </c>
      <c r="L32" s="176">
        <f t="shared" si="3"/>
        <v>87027.839999999997</v>
      </c>
      <c r="O32" s="190"/>
    </row>
    <row r="33" spans="1:15" x14ac:dyDescent="0.3">
      <c r="A33" s="52" t="s">
        <v>313</v>
      </c>
      <c r="B33" s="52" t="s">
        <v>314</v>
      </c>
      <c r="C33" s="53">
        <v>60000</v>
      </c>
      <c r="D33" s="53"/>
      <c r="E33" s="53">
        <f t="shared" si="4"/>
        <v>60000</v>
      </c>
      <c r="F33" s="53"/>
      <c r="G33" s="53">
        <f t="shared" si="0"/>
        <v>60000</v>
      </c>
      <c r="H33" s="53"/>
      <c r="I33" s="69">
        <f t="shared" si="1"/>
        <v>60000</v>
      </c>
      <c r="J33" s="69">
        <v>60000</v>
      </c>
      <c r="K33" s="53">
        <f t="shared" si="2"/>
        <v>62520</v>
      </c>
      <c r="L33" s="176">
        <f t="shared" si="3"/>
        <v>65270.880000000005</v>
      </c>
      <c r="O33" s="190"/>
    </row>
    <row r="34" spans="1:15" x14ac:dyDescent="0.3">
      <c r="A34" s="52"/>
      <c r="B34" s="52"/>
      <c r="C34" s="53"/>
      <c r="D34" s="53"/>
      <c r="E34" s="53"/>
      <c r="F34" s="53"/>
      <c r="G34" s="53"/>
      <c r="H34" s="53"/>
      <c r="I34" s="69"/>
      <c r="J34" s="69"/>
      <c r="K34" s="53"/>
      <c r="L34" s="176"/>
      <c r="O34" s="190"/>
    </row>
    <row r="35" spans="1:15" x14ac:dyDescent="0.3">
      <c r="A35" s="52" t="s">
        <v>1318</v>
      </c>
      <c r="B35" s="52" t="s">
        <v>1188</v>
      </c>
      <c r="C35" s="53">
        <v>70000</v>
      </c>
      <c r="D35" s="53"/>
      <c r="E35" s="53">
        <f t="shared" si="4"/>
        <v>70000</v>
      </c>
      <c r="F35" s="53"/>
      <c r="G35" s="53">
        <f t="shared" si="0"/>
        <v>70000</v>
      </c>
      <c r="H35" s="53"/>
      <c r="I35" s="69">
        <f t="shared" si="1"/>
        <v>70000</v>
      </c>
      <c r="J35" s="69">
        <v>50000</v>
      </c>
      <c r="K35" s="53">
        <f t="shared" si="2"/>
        <v>52100</v>
      </c>
      <c r="L35" s="176">
        <f t="shared" si="3"/>
        <v>54392.4</v>
      </c>
      <c r="O35" s="190"/>
    </row>
    <row r="36" spans="1:15" x14ac:dyDescent="0.3">
      <c r="A36" s="52" t="s">
        <v>1330</v>
      </c>
      <c r="B36" s="52" t="s">
        <v>1331</v>
      </c>
      <c r="C36" s="53"/>
      <c r="D36" s="53"/>
      <c r="E36" s="53">
        <f t="shared" si="4"/>
        <v>0</v>
      </c>
      <c r="F36" s="53"/>
      <c r="G36" s="53">
        <f t="shared" si="0"/>
        <v>0</v>
      </c>
      <c r="H36" s="53">
        <v>5950</v>
      </c>
      <c r="I36" s="69">
        <f t="shared" si="1"/>
        <v>5950</v>
      </c>
      <c r="J36" s="69">
        <v>10000</v>
      </c>
      <c r="K36" s="53">
        <f t="shared" si="2"/>
        <v>10420</v>
      </c>
      <c r="L36" s="176">
        <f t="shared" si="3"/>
        <v>10878.48</v>
      </c>
      <c r="O36" s="190"/>
    </row>
    <row r="37" spans="1:15" x14ac:dyDescent="0.3">
      <c r="A37" s="52" t="s">
        <v>336</v>
      </c>
      <c r="B37" s="52" t="s">
        <v>48</v>
      </c>
      <c r="C37" s="53">
        <v>45519.232980787492</v>
      </c>
      <c r="D37" s="53"/>
      <c r="E37" s="53">
        <f t="shared" si="4"/>
        <v>45519.232980787492</v>
      </c>
      <c r="F37" s="53"/>
      <c r="G37" s="53">
        <f t="shared" si="0"/>
        <v>45519.232980787492</v>
      </c>
      <c r="H37" s="53"/>
      <c r="I37" s="69">
        <f t="shared" si="1"/>
        <v>45519.232980787492</v>
      </c>
      <c r="J37" s="69">
        <v>46268.316601612074</v>
      </c>
      <c r="K37" s="53">
        <f t="shared" si="2"/>
        <v>48211.585898879785</v>
      </c>
      <c r="L37" s="176">
        <f t="shared" si="3"/>
        <v>50332.895678430497</v>
      </c>
      <c r="O37" s="190"/>
    </row>
    <row r="38" spans="1:15" x14ac:dyDescent="0.3">
      <c r="A38" s="52" t="s">
        <v>1332</v>
      </c>
      <c r="B38" s="52" t="s">
        <v>42</v>
      </c>
      <c r="C38" s="53"/>
      <c r="D38" s="53"/>
      <c r="E38" s="53">
        <v>0</v>
      </c>
      <c r="F38" s="53"/>
      <c r="G38" s="53"/>
      <c r="H38" s="53">
        <v>11292.63</v>
      </c>
      <c r="I38" s="69">
        <f t="shared" si="1"/>
        <v>11292.63</v>
      </c>
      <c r="J38" s="69">
        <v>11292.63</v>
      </c>
      <c r="K38" s="53">
        <f t="shared" si="2"/>
        <v>11766.920459999999</v>
      </c>
      <c r="L38" s="176">
        <f t="shared" si="3"/>
        <v>12284.664960239999</v>
      </c>
      <c r="O38" s="190"/>
    </row>
    <row r="39" spans="1:15" x14ac:dyDescent="0.3">
      <c r="A39" s="52" t="s">
        <v>1333</v>
      </c>
      <c r="B39" s="52" t="s">
        <v>44</v>
      </c>
      <c r="C39" s="53"/>
      <c r="D39" s="53"/>
      <c r="E39" s="53"/>
      <c r="F39" s="53"/>
      <c r="G39" s="53"/>
      <c r="H39" s="53">
        <v>15000</v>
      </c>
      <c r="I39" s="69">
        <f t="shared" si="1"/>
        <v>15000</v>
      </c>
      <c r="J39" s="69">
        <v>15000</v>
      </c>
      <c r="K39" s="53">
        <f t="shared" si="2"/>
        <v>15630</v>
      </c>
      <c r="L39" s="176">
        <f t="shared" si="3"/>
        <v>16317.720000000001</v>
      </c>
      <c r="O39" s="190"/>
    </row>
    <row r="40" spans="1:15" x14ac:dyDescent="0.3">
      <c r="A40" s="52" t="s">
        <v>1345</v>
      </c>
      <c r="B40" s="52" t="s">
        <v>234</v>
      </c>
      <c r="C40" s="53"/>
      <c r="D40" s="53"/>
      <c r="E40" s="53"/>
      <c r="F40" s="53"/>
      <c r="G40" s="53"/>
      <c r="H40" s="53">
        <v>16000</v>
      </c>
      <c r="I40" s="69">
        <f t="shared" si="1"/>
        <v>16000</v>
      </c>
      <c r="J40" s="69">
        <v>16000</v>
      </c>
      <c r="K40" s="53">
        <f t="shared" si="2"/>
        <v>16672</v>
      </c>
      <c r="L40" s="176">
        <f t="shared" si="3"/>
        <v>17405.567999999999</v>
      </c>
      <c r="O40" s="190"/>
    </row>
    <row r="41" spans="1:15" x14ac:dyDescent="0.3">
      <c r="A41" s="52" t="s">
        <v>1344</v>
      </c>
      <c r="B41" s="52" t="s">
        <v>1337</v>
      </c>
      <c r="C41" s="53"/>
      <c r="D41" s="53"/>
      <c r="E41" s="53"/>
      <c r="F41" s="53"/>
      <c r="G41" s="53"/>
      <c r="H41" s="53">
        <v>10000</v>
      </c>
      <c r="I41" s="69">
        <f t="shared" si="1"/>
        <v>10000</v>
      </c>
      <c r="J41" s="69">
        <v>10000</v>
      </c>
      <c r="K41" s="53">
        <f t="shared" ref="K41:K67" si="5">J41*104.2%</f>
        <v>10420</v>
      </c>
      <c r="L41" s="176">
        <f t="shared" ref="L41:L67" si="6">K41*104.4%</f>
        <v>10878.48</v>
      </c>
      <c r="O41" s="190"/>
    </row>
    <row r="42" spans="1:15" x14ac:dyDescent="0.3">
      <c r="A42" s="52"/>
      <c r="B42" s="52"/>
      <c r="C42" s="53"/>
      <c r="D42" s="53"/>
      <c r="E42" s="53"/>
      <c r="F42" s="53"/>
      <c r="G42" s="53"/>
      <c r="H42" s="53"/>
      <c r="I42" s="69"/>
      <c r="J42" s="69"/>
      <c r="K42" s="53">
        <f t="shared" si="5"/>
        <v>0</v>
      </c>
      <c r="L42" s="176">
        <f t="shared" si="6"/>
        <v>0</v>
      </c>
      <c r="O42" s="190"/>
    </row>
    <row r="43" spans="1:15" x14ac:dyDescent="0.3">
      <c r="A43" s="52"/>
      <c r="B43" s="51" t="s">
        <v>482</v>
      </c>
      <c r="C43" s="53">
        <v>0</v>
      </c>
      <c r="D43" s="53"/>
      <c r="E43" s="53">
        <f t="shared" si="4"/>
        <v>0</v>
      </c>
      <c r="F43" s="53"/>
      <c r="G43" s="53">
        <f t="shared" si="0"/>
        <v>0</v>
      </c>
      <c r="H43" s="53"/>
      <c r="I43" s="69">
        <f t="shared" ref="I43:I67" si="7">G43+H43</f>
        <v>0</v>
      </c>
      <c r="J43" s="69"/>
      <c r="K43" s="53">
        <f t="shared" si="5"/>
        <v>0</v>
      </c>
      <c r="L43" s="176">
        <f t="shared" si="6"/>
        <v>0</v>
      </c>
      <c r="O43" s="190"/>
    </row>
    <row r="44" spans="1:15" x14ac:dyDescent="0.3">
      <c r="A44" s="52" t="s">
        <v>653</v>
      </c>
      <c r="B44" s="52" t="s">
        <v>317</v>
      </c>
      <c r="C44" s="53">
        <v>60000</v>
      </c>
      <c r="D44" s="53"/>
      <c r="E44" s="53">
        <f t="shared" si="4"/>
        <v>60000</v>
      </c>
      <c r="F44" s="53"/>
      <c r="G44" s="53">
        <f t="shared" si="0"/>
        <v>60000</v>
      </c>
      <c r="H44" s="53"/>
      <c r="I44" s="69">
        <f t="shared" si="7"/>
        <v>60000</v>
      </c>
      <c r="J44" s="69">
        <v>50000</v>
      </c>
      <c r="K44" s="53">
        <f t="shared" si="5"/>
        <v>52100</v>
      </c>
      <c r="L44" s="176">
        <f t="shared" si="6"/>
        <v>54392.4</v>
      </c>
      <c r="O44" s="190"/>
    </row>
    <row r="45" spans="1:15" x14ac:dyDescent="0.3">
      <c r="A45" s="52" t="s">
        <v>324</v>
      </c>
      <c r="B45" s="52" t="s">
        <v>499</v>
      </c>
      <c r="C45" s="53">
        <v>200000</v>
      </c>
      <c r="D45" s="53"/>
      <c r="E45" s="53">
        <f t="shared" si="4"/>
        <v>200000</v>
      </c>
      <c r="F45" s="53"/>
      <c r="G45" s="53">
        <f t="shared" si="0"/>
        <v>200000</v>
      </c>
      <c r="H45" s="53">
        <v>-120000</v>
      </c>
      <c r="I45" s="69">
        <f t="shared" si="7"/>
        <v>80000</v>
      </c>
      <c r="J45" s="69">
        <v>90000</v>
      </c>
      <c r="K45" s="53">
        <f t="shared" si="5"/>
        <v>93780</v>
      </c>
      <c r="L45" s="176">
        <f t="shared" si="6"/>
        <v>97906.32</v>
      </c>
      <c r="O45" s="190"/>
    </row>
    <row r="46" spans="1:15" x14ac:dyDescent="0.3">
      <c r="A46" s="52" t="s">
        <v>328</v>
      </c>
      <c r="B46" s="52" t="s">
        <v>329</v>
      </c>
      <c r="C46" s="53">
        <v>50000</v>
      </c>
      <c r="D46" s="53"/>
      <c r="E46" s="53">
        <f t="shared" si="4"/>
        <v>50000</v>
      </c>
      <c r="F46" s="53"/>
      <c r="G46" s="53">
        <f t="shared" si="0"/>
        <v>50000</v>
      </c>
      <c r="H46" s="53"/>
      <c r="I46" s="69">
        <f t="shared" si="7"/>
        <v>50000</v>
      </c>
      <c r="J46" s="69">
        <v>50000</v>
      </c>
      <c r="K46" s="53">
        <f t="shared" si="5"/>
        <v>52100</v>
      </c>
      <c r="L46" s="176">
        <f t="shared" si="6"/>
        <v>54392.4</v>
      </c>
      <c r="O46" s="190"/>
    </row>
    <row r="47" spans="1:15" x14ac:dyDescent="0.3">
      <c r="A47" s="52" t="s">
        <v>318</v>
      </c>
      <c r="B47" s="52" t="s">
        <v>319</v>
      </c>
      <c r="C47" s="53">
        <v>280000</v>
      </c>
      <c r="D47" s="53"/>
      <c r="E47" s="53">
        <f t="shared" si="4"/>
        <v>280000</v>
      </c>
      <c r="F47" s="53"/>
      <c r="G47" s="53">
        <f t="shared" si="0"/>
        <v>280000</v>
      </c>
      <c r="H47" s="53">
        <f>-80000+100000+100000</f>
        <v>120000</v>
      </c>
      <c r="I47" s="69">
        <f t="shared" si="7"/>
        <v>400000</v>
      </c>
      <c r="J47" s="69">
        <v>250000</v>
      </c>
      <c r="K47" s="53">
        <f t="shared" si="5"/>
        <v>260500</v>
      </c>
      <c r="L47" s="176">
        <f t="shared" si="6"/>
        <v>271962</v>
      </c>
      <c r="O47" s="190"/>
    </row>
    <row r="48" spans="1:15" x14ac:dyDescent="0.3">
      <c r="A48" s="52" t="s">
        <v>326</v>
      </c>
      <c r="B48" s="52" t="s">
        <v>327</v>
      </c>
      <c r="C48" s="53">
        <v>200000</v>
      </c>
      <c r="D48" s="53"/>
      <c r="E48" s="53">
        <f t="shared" si="4"/>
        <v>200000</v>
      </c>
      <c r="F48" s="53"/>
      <c r="G48" s="53">
        <f t="shared" si="0"/>
        <v>200000</v>
      </c>
      <c r="H48" s="53">
        <v>-100000</v>
      </c>
      <c r="I48" s="69">
        <f t="shared" si="7"/>
        <v>100000</v>
      </c>
      <c r="J48" s="69">
        <v>50000</v>
      </c>
      <c r="K48" s="53">
        <f t="shared" si="5"/>
        <v>52100</v>
      </c>
      <c r="L48" s="176">
        <f t="shared" si="6"/>
        <v>54392.4</v>
      </c>
      <c r="O48" s="190"/>
    </row>
    <row r="49" spans="1:15" x14ac:dyDescent="0.3">
      <c r="A49" s="52" t="s">
        <v>1528</v>
      </c>
      <c r="B49" s="52" t="s">
        <v>1362</v>
      </c>
      <c r="C49" s="53"/>
      <c r="D49" s="53"/>
      <c r="E49" s="53"/>
      <c r="F49" s="53"/>
      <c r="G49" s="53"/>
      <c r="H49" s="53"/>
      <c r="I49" s="69"/>
      <c r="J49" s="69">
        <v>150000</v>
      </c>
      <c r="K49" s="53">
        <f t="shared" si="5"/>
        <v>156300</v>
      </c>
      <c r="L49" s="176">
        <f t="shared" si="6"/>
        <v>163177.20000000001</v>
      </c>
      <c r="O49" s="190"/>
    </row>
    <row r="50" spans="1:15" x14ac:dyDescent="0.3">
      <c r="A50" s="52"/>
      <c r="B50" s="52"/>
      <c r="C50" s="53"/>
      <c r="D50" s="53"/>
      <c r="E50" s="53"/>
      <c r="F50" s="53"/>
      <c r="G50" s="53"/>
      <c r="H50" s="53"/>
      <c r="I50" s="69"/>
      <c r="J50" s="69"/>
      <c r="K50" s="53">
        <f t="shared" si="5"/>
        <v>0</v>
      </c>
      <c r="L50" s="176">
        <f t="shared" si="6"/>
        <v>0</v>
      </c>
      <c r="O50" s="190"/>
    </row>
    <row r="51" spans="1:15" x14ac:dyDescent="0.3">
      <c r="A51" s="52"/>
      <c r="B51" s="51" t="s">
        <v>1363</v>
      </c>
      <c r="C51" s="53"/>
      <c r="D51" s="53"/>
      <c r="E51" s="53"/>
      <c r="F51" s="53"/>
      <c r="G51" s="53"/>
      <c r="H51" s="53"/>
      <c r="I51" s="69"/>
      <c r="J51" s="69"/>
      <c r="K51" s="53">
        <f t="shared" si="5"/>
        <v>0</v>
      </c>
      <c r="L51" s="176">
        <f t="shared" si="6"/>
        <v>0</v>
      </c>
      <c r="O51" s="190"/>
    </row>
    <row r="52" spans="1:15" x14ac:dyDescent="0.3">
      <c r="A52" s="52" t="s">
        <v>1459</v>
      </c>
      <c r="B52" s="52" t="s">
        <v>1463</v>
      </c>
      <c r="C52" s="53"/>
      <c r="D52" s="53"/>
      <c r="E52" s="53"/>
      <c r="F52" s="53"/>
      <c r="G52" s="53"/>
      <c r="H52" s="53"/>
      <c r="I52" s="69"/>
      <c r="J52" s="69">
        <v>80000</v>
      </c>
      <c r="K52" s="53">
        <f t="shared" si="5"/>
        <v>83360</v>
      </c>
      <c r="L52" s="176">
        <f t="shared" si="6"/>
        <v>87027.839999999997</v>
      </c>
      <c r="O52" s="190"/>
    </row>
    <row r="53" spans="1:15" x14ac:dyDescent="0.3">
      <c r="A53" s="52" t="s">
        <v>1460</v>
      </c>
      <c r="B53" s="52" t="s">
        <v>1464</v>
      </c>
      <c r="C53" s="53"/>
      <c r="D53" s="53"/>
      <c r="E53" s="53"/>
      <c r="F53" s="53"/>
      <c r="G53" s="53"/>
      <c r="H53" s="53"/>
      <c r="I53" s="69"/>
      <c r="J53" s="69">
        <v>30000</v>
      </c>
      <c r="K53" s="53">
        <f t="shared" si="5"/>
        <v>31260</v>
      </c>
      <c r="L53" s="176">
        <f t="shared" si="6"/>
        <v>32635.440000000002</v>
      </c>
      <c r="O53" s="190"/>
    </row>
    <row r="54" spans="1:15" x14ac:dyDescent="0.3">
      <c r="A54" s="52" t="s">
        <v>1461</v>
      </c>
      <c r="B54" s="52" t="s">
        <v>1465</v>
      </c>
      <c r="C54" s="53"/>
      <c r="D54" s="53"/>
      <c r="E54" s="53"/>
      <c r="F54" s="53"/>
      <c r="G54" s="53"/>
      <c r="H54" s="53"/>
      <c r="I54" s="69"/>
      <c r="J54" s="69">
        <v>30000</v>
      </c>
      <c r="K54" s="53">
        <f t="shared" si="5"/>
        <v>31260</v>
      </c>
      <c r="L54" s="176">
        <f t="shared" si="6"/>
        <v>32635.440000000002</v>
      </c>
      <c r="O54" s="190"/>
    </row>
    <row r="55" spans="1:15" x14ac:dyDescent="0.3">
      <c r="A55" s="52" t="s">
        <v>1462</v>
      </c>
      <c r="B55" s="52" t="s">
        <v>1466</v>
      </c>
      <c r="C55" s="53"/>
      <c r="D55" s="53"/>
      <c r="E55" s="53"/>
      <c r="F55" s="53"/>
      <c r="G55" s="53"/>
      <c r="H55" s="53"/>
      <c r="I55" s="69"/>
      <c r="J55" s="69">
        <v>20000</v>
      </c>
      <c r="K55" s="53">
        <f t="shared" si="5"/>
        <v>20840</v>
      </c>
      <c r="L55" s="176">
        <f t="shared" si="6"/>
        <v>21756.959999999999</v>
      </c>
      <c r="O55" s="190"/>
    </row>
    <row r="56" spans="1:15" x14ac:dyDescent="0.3">
      <c r="A56" s="52"/>
      <c r="B56" s="52"/>
      <c r="C56" s="53"/>
      <c r="D56" s="53"/>
      <c r="E56" s="53">
        <f t="shared" si="4"/>
        <v>0</v>
      </c>
      <c r="F56" s="53"/>
      <c r="G56" s="53">
        <f t="shared" si="0"/>
        <v>0</v>
      </c>
      <c r="H56" s="53"/>
      <c r="I56" s="69">
        <f t="shared" si="7"/>
        <v>0</v>
      </c>
      <c r="J56" s="69"/>
      <c r="K56" s="53">
        <f t="shared" si="5"/>
        <v>0</v>
      </c>
      <c r="L56" s="176">
        <f t="shared" si="6"/>
        <v>0</v>
      </c>
      <c r="O56" s="190"/>
    </row>
    <row r="57" spans="1:15" x14ac:dyDescent="0.3">
      <c r="A57" s="52"/>
      <c r="B57" s="52"/>
      <c r="C57" s="53">
        <v>0</v>
      </c>
      <c r="D57" s="53"/>
      <c r="E57" s="53">
        <f t="shared" si="4"/>
        <v>0</v>
      </c>
      <c r="F57" s="53"/>
      <c r="G57" s="53">
        <f t="shared" si="0"/>
        <v>0</v>
      </c>
      <c r="H57" s="53"/>
      <c r="I57" s="69">
        <f t="shared" si="7"/>
        <v>0</v>
      </c>
      <c r="J57" s="69"/>
      <c r="K57" s="53">
        <f t="shared" si="5"/>
        <v>0</v>
      </c>
      <c r="L57" s="176">
        <f t="shared" si="6"/>
        <v>0</v>
      </c>
      <c r="O57" s="190"/>
    </row>
    <row r="58" spans="1:15" x14ac:dyDescent="0.3">
      <c r="A58" s="52"/>
      <c r="B58" s="51" t="s">
        <v>483</v>
      </c>
      <c r="C58" s="53">
        <v>0</v>
      </c>
      <c r="D58" s="53"/>
      <c r="E58" s="53">
        <f t="shared" si="4"/>
        <v>0</v>
      </c>
      <c r="F58" s="53"/>
      <c r="G58" s="53">
        <f t="shared" si="0"/>
        <v>0</v>
      </c>
      <c r="H58" s="53"/>
      <c r="I58" s="69">
        <f t="shared" si="7"/>
        <v>0</v>
      </c>
      <c r="J58" s="69"/>
      <c r="K58" s="53">
        <f t="shared" si="5"/>
        <v>0</v>
      </c>
      <c r="L58" s="176">
        <f t="shared" si="6"/>
        <v>0</v>
      </c>
      <c r="O58" s="190"/>
    </row>
    <row r="59" spans="1:15" x14ac:dyDescent="0.3">
      <c r="A59" s="52" t="s">
        <v>337</v>
      </c>
      <c r="B59" s="52" t="s">
        <v>338</v>
      </c>
      <c r="C59" s="53">
        <v>150000</v>
      </c>
      <c r="D59" s="53"/>
      <c r="E59" s="53">
        <f t="shared" si="4"/>
        <v>150000</v>
      </c>
      <c r="F59" s="53"/>
      <c r="G59" s="53">
        <f t="shared" si="0"/>
        <v>150000</v>
      </c>
      <c r="H59" s="53">
        <v>-150000</v>
      </c>
      <c r="I59" s="69">
        <f t="shared" si="7"/>
        <v>0</v>
      </c>
      <c r="J59" s="69">
        <v>150000</v>
      </c>
      <c r="K59" s="53">
        <f t="shared" si="5"/>
        <v>156300</v>
      </c>
      <c r="L59" s="176">
        <f t="shared" si="6"/>
        <v>163177.20000000001</v>
      </c>
      <c r="O59" s="190"/>
    </row>
    <row r="60" spans="1:15" x14ac:dyDescent="0.3">
      <c r="A60" s="52" t="s">
        <v>331</v>
      </c>
      <c r="B60" s="52" t="s">
        <v>332</v>
      </c>
      <c r="C60" s="53">
        <v>30000</v>
      </c>
      <c r="D60" s="53"/>
      <c r="E60" s="53">
        <f t="shared" si="4"/>
        <v>30000</v>
      </c>
      <c r="F60" s="53"/>
      <c r="G60" s="53">
        <f t="shared" si="0"/>
        <v>30000</v>
      </c>
      <c r="H60" s="53"/>
      <c r="I60" s="69">
        <f t="shared" si="7"/>
        <v>30000</v>
      </c>
      <c r="J60" s="69">
        <v>20000</v>
      </c>
      <c r="K60" s="53">
        <f t="shared" si="5"/>
        <v>20840</v>
      </c>
      <c r="L60" s="176">
        <f t="shared" si="6"/>
        <v>21756.959999999999</v>
      </c>
      <c r="O60" s="190"/>
    </row>
    <row r="61" spans="1:15" x14ac:dyDescent="0.3">
      <c r="A61" s="52" t="s">
        <v>1199</v>
      </c>
      <c r="B61" s="52" t="s">
        <v>330</v>
      </c>
      <c r="C61" s="53">
        <v>60000</v>
      </c>
      <c r="D61" s="53"/>
      <c r="E61" s="53">
        <f t="shared" si="4"/>
        <v>60000</v>
      </c>
      <c r="F61" s="53"/>
      <c r="G61" s="53">
        <f t="shared" si="0"/>
        <v>60000</v>
      </c>
      <c r="H61" s="53">
        <v>-30000</v>
      </c>
      <c r="I61" s="69">
        <f t="shared" si="7"/>
        <v>30000</v>
      </c>
      <c r="J61" s="69">
        <v>30000</v>
      </c>
      <c r="K61" s="53">
        <f t="shared" si="5"/>
        <v>31260</v>
      </c>
      <c r="L61" s="176">
        <f t="shared" si="6"/>
        <v>32635.440000000002</v>
      </c>
      <c r="O61" s="190"/>
    </row>
    <row r="62" spans="1:15" x14ac:dyDescent="0.3">
      <c r="A62" s="52" t="s">
        <v>339</v>
      </c>
      <c r="B62" s="52" t="s">
        <v>340</v>
      </c>
      <c r="C62" s="53">
        <v>60000</v>
      </c>
      <c r="D62" s="53"/>
      <c r="E62" s="53">
        <f t="shared" si="4"/>
        <v>60000</v>
      </c>
      <c r="F62" s="53"/>
      <c r="G62" s="53">
        <f t="shared" si="0"/>
        <v>60000</v>
      </c>
      <c r="H62" s="53">
        <v>100000</v>
      </c>
      <c r="I62" s="69">
        <f t="shared" si="7"/>
        <v>160000</v>
      </c>
      <c r="J62" s="69">
        <v>20000</v>
      </c>
      <c r="K62" s="53">
        <f t="shared" si="5"/>
        <v>20840</v>
      </c>
      <c r="L62" s="176">
        <f t="shared" si="6"/>
        <v>21756.959999999999</v>
      </c>
      <c r="O62" s="190"/>
    </row>
    <row r="63" spans="1:15" x14ac:dyDescent="0.3">
      <c r="A63" s="52" t="s">
        <v>333</v>
      </c>
      <c r="B63" s="52" t="s">
        <v>334</v>
      </c>
      <c r="C63" s="53">
        <v>100000</v>
      </c>
      <c r="D63" s="53"/>
      <c r="E63" s="53">
        <f t="shared" si="4"/>
        <v>100000</v>
      </c>
      <c r="F63" s="53"/>
      <c r="G63" s="53">
        <f t="shared" si="0"/>
        <v>100000</v>
      </c>
      <c r="H63" s="53">
        <v>-50000</v>
      </c>
      <c r="I63" s="69">
        <f t="shared" si="7"/>
        <v>50000</v>
      </c>
      <c r="J63" s="69">
        <v>30000</v>
      </c>
      <c r="K63" s="53">
        <f t="shared" si="5"/>
        <v>31260</v>
      </c>
      <c r="L63" s="176">
        <f t="shared" si="6"/>
        <v>32635.440000000002</v>
      </c>
      <c r="O63" s="190"/>
    </row>
    <row r="64" spans="1:15" x14ac:dyDescent="0.3">
      <c r="A64" s="52" t="s">
        <v>1365</v>
      </c>
      <c r="B64" s="52" t="s">
        <v>1366</v>
      </c>
      <c r="C64" s="53">
        <v>0</v>
      </c>
      <c r="D64" s="53"/>
      <c r="E64" s="53">
        <f t="shared" si="4"/>
        <v>0</v>
      </c>
      <c r="F64" s="53"/>
      <c r="G64" s="53">
        <f t="shared" si="0"/>
        <v>0</v>
      </c>
      <c r="H64" s="53"/>
      <c r="I64" s="69">
        <f t="shared" si="7"/>
        <v>0</v>
      </c>
      <c r="J64" s="69">
        <v>50000</v>
      </c>
      <c r="K64" s="53">
        <f t="shared" si="5"/>
        <v>52100</v>
      </c>
      <c r="L64" s="176">
        <f t="shared" si="6"/>
        <v>54392.4</v>
      </c>
      <c r="O64" s="190"/>
    </row>
    <row r="65" spans="1:16" x14ac:dyDescent="0.3">
      <c r="A65" s="52" t="s">
        <v>662</v>
      </c>
      <c r="B65" s="52" t="s">
        <v>663</v>
      </c>
      <c r="C65" s="53">
        <v>0</v>
      </c>
      <c r="D65" s="53"/>
      <c r="E65" s="53">
        <f t="shared" si="4"/>
        <v>0</v>
      </c>
      <c r="F65" s="53"/>
      <c r="G65" s="53">
        <f t="shared" si="0"/>
        <v>0</v>
      </c>
      <c r="H65" s="53"/>
      <c r="I65" s="69">
        <f t="shared" si="7"/>
        <v>0</v>
      </c>
      <c r="J65" s="69"/>
      <c r="K65" s="53">
        <f t="shared" si="5"/>
        <v>0</v>
      </c>
      <c r="L65" s="176">
        <f t="shared" si="6"/>
        <v>0</v>
      </c>
      <c r="O65" s="190"/>
    </row>
    <row r="66" spans="1:16" x14ac:dyDescent="0.3">
      <c r="A66" s="52"/>
      <c r="B66" s="52"/>
      <c r="C66" s="53"/>
      <c r="D66" s="53"/>
      <c r="E66" s="53"/>
      <c r="F66" s="53"/>
      <c r="G66" s="53"/>
      <c r="H66" s="53"/>
      <c r="I66" s="69">
        <f t="shared" si="7"/>
        <v>0</v>
      </c>
      <c r="J66" s="69"/>
      <c r="K66" s="53">
        <f t="shared" si="5"/>
        <v>0</v>
      </c>
      <c r="L66" s="176">
        <f t="shared" si="6"/>
        <v>0</v>
      </c>
      <c r="O66" s="190"/>
    </row>
    <row r="67" spans="1:16" ht="13.5" thickBot="1" x14ac:dyDescent="0.35">
      <c r="A67" s="52" t="s">
        <v>1299</v>
      </c>
      <c r="B67" s="52" t="s">
        <v>1300</v>
      </c>
      <c r="C67" s="53"/>
      <c r="D67" s="53"/>
      <c r="E67" s="53"/>
      <c r="F67" s="53">
        <v>3000000</v>
      </c>
      <c r="G67" s="114">
        <f t="shared" si="0"/>
        <v>3000000</v>
      </c>
      <c r="H67" s="69"/>
      <c r="I67" s="69">
        <f t="shared" si="7"/>
        <v>3000000</v>
      </c>
      <c r="J67" s="69"/>
      <c r="K67" s="53">
        <f t="shared" si="5"/>
        <v>0</v>
      </c>
      <c r="L67" s="176">
        <f t="shared" si="6"/>
        <v>0</v>
      </c>
      <c r="O67" s="190"/>
    </row>
    <row r="68" spans="1:16" s="77" customFormat="1" ht="13.5" thickBot="1" x14ac:dyDescent="0.35">
      <c r="A68" s="57" t="s">
        <v>674</v>
      </c>
      <c r="B68" s="57"/>
      <c r="C68" s="59">
        <f>SUM(C8:C65)</f>
        <v>6165519.2329807878</v>
      </c>
      <c r="D68" s="59"/>
      <c r="E68" s="59">
        <f t="shared" ref="E68:L68" si="8">SUM(E8:E67)</f>
        <v>6165519.2329807878</v>
      </c>
      <c r="F68" s="59">
        <f t="shared" si="8"/>
        <v>3000000</v>
      </c>
      <c r="G68" s="59">
        <f t="shared" si="8"/>
        <v>9165519.2329807878</v>
      </c>
      <c r="H68" s="59">
        <f t="shared" si="8"/>
        <v>-1828311.4900000002</v>
      </c>
      <c r="I68" s="59">
        <f t="shared" si="8"/>
        <v>7337207.7429807875</v>
      </c>
      <c r="J68" s="59">
        <f>SUM(J8:J67)</f>
        <v>4158560.946601612</v>
      </c>
      <c r="K68" s="59">
        <f t="shared" si="8"/>
        <v>4333220.5063588805</v>
      </c>
      <c r="L68" s="59">
        <f t="shared" si="8"/>
        <v>4523882.2086386709</v>
      </c>
      <c r="M68" s="180"/>
      <c r="N68" s="193"/>
      <c r="O68" s="193"/>
      <c r="P68" s="193"/>
    </row>
    <row r="69" spans="1:16" ht="13.5" thickTop="1" x14ac:dyDescent="0.3">
      <c r="A69" s="61"/>
      <c r="B69" s="61"/>
      <c r="C69" s="53">
        <v>0</v>
      </c>
      <c r="D69" s="62"/>
      <c r="E69" s="62">
        <f t="shared" si="4"/>
        <v>0</v>
      </c>
      <c r="F69" s="62"/>
      <c r="G69" s="53">
        <f t="shared" si="0"/>
        <v>0</v>
      </c>
      <c r="H69" s="62"/>
      <c r="I69" s="62"/>
      <c r="J69" s="62"/>
      <c r="K69" s="62"/>
      <c r="L69" s="184"/>
    </row>
    <row r="70" spans="1:16" x14ac:dyDescent="0.3">
      <c r="A70" s="51" t="s">
        <v>396</v>
      </c>
      <c r="B70" s="52"/>
      <c r="C70" s="53">
        <v>0</v>
      </c>
      <c r="D70" s="53"/>
      <c r="E70" s="53">
        <f t="shared" si="4"/>
        <v>0</v>
      </c>
      <c r="F70" s="53"/>
      <c r="G70" s="53">
        <f t="shared" si="0"/>
        <v>0</v>
      </c>
      <c r="H70" s="53"/>
      <c r="I70" s="53"/>
      <c r="J70" s="53"/>
      <c r="K70" s="53"/>
      <c r="L70" s="176"/>
    </row>
    <row r="71" spans="1:16" x14ac:dyDescent="0.3">
      <c r="A71" s="52" t="s">
        <v>341</v>
      </c>
      <c r="B71" s="52" t="s">
        <v>55</v>
      </c>
      <c r="C71" s="53">
        <v>3878263.7130787503</v>
      </c>
      <c r="D71" s="53"/>
      <c r="E71" s="53">
        <f t="shared" si="4"/>
        <v>3878263.7130787503</v>
      </c>
      <c r="F71" s="53"/>
      <c r="G71" s="53">
        <f t="shared" si="0"/>
        <v>3878263.7130787503</v>
      </c>
      <c r="H71" s="53">
        <v>-56945.094552500173</v>
      </c>
      <c r="I71" s="69">
        <f t="shared" ref="I71:I86" si="9">G71+H71</f>
        <v>3821318.6185262501</v>
      </c>
      <c r="J71" s="69">
        <v>4166265.4910572078</v>
      </c>
      <c r="K71" s="53">
        <f t="shared" ref="K71:K86" si="10">J71*104.2%</f>
        <v>4341248.6416816106</v>
      </c>
      <c r="L71" s="176">
        <f t="shared" ref="L71:L86" si="11">K71*104.4%</f>
        <v>4532263.5819156021</v>
      </c>
      <c r="O71" s="190"/>
    </row>
    <row r="72" spans="1:16" x14ac:dyDescent="0.3">
      <c r="A72" s="52" t="s">
        <v>342</v>
      </c>
      <c r="B72" s="52" t="s">
        <v>56</v>
      </c>
      <c r="C72" s="53">
        <v>247583.70750000008</v>
      </c>
      <c r="D72" s="53"/>
      <c r="E72" s="53">
        <f t="shared" si="4"/>
        <v>247583.70750000008</v>
      </c>
      <c r="F72" s="53"/>
      <c r="G72" s="53">
        <f t="shared" si="0"/>
        <v>247583.70750000008</v>
      </c>
      <c r="H72" s="53">
        <v>3849.5031249999302</v>
      </c>
      <c r="I72" s="69">
        <f t="shared" si="9"/>
        <v>251433.21062500001</v>
      </c>
      <c r="J72" s="69">
        <v>380933.33932143397</v>
      </c>
      <c r="K72" s="53">
        <f t="shared" si="10"/>
        <v>396932.53957293421</v>
      </c>
      <c r="L72" s="176">
        <f t="shared" si="11"/>
        <v>414397.57131414331</v>
      </c>
      <c r="O72" s="190"/>
    </row>
    <row r="73" spans="1:16" x14ac:dyDescent="0.3">
      <c r="A73" s="52" t="s">
        <v>343</v>
      </c>
      <c r="B73" s="52" t="s">
        <v>57</v>
      </c>
      <c r="C73" s="53">
        <v>2430.2399999999998</v>
      </c>
      <c r="D73" s="53"/>
      <c r="E73" s="53">
        <f t="shared" si="4"/>
        <v>2430.2399999999998</v>
      </c>
      <c r="F73" s="53"/>
      <c r="G73" s="53">
        <f t="shared" si="0"/>
        <v>2430.2399999999998</v>
      </c>
      <c r="H73" s="53">
        <v>-1088.1599999999999</v>
      </c>
      <c r="I73" s="69">
        <f t="shared" si="9"/>
        <v>1342.08</v>
      </c>
      <c r="J73" s="69">
        <v>1342.08</v>
      </c>
      <c r="K73" s="53">
        <f t="shared" si="10"/>
        <v>1398.4473599999999</v>
      </c>
      <c r="L73" s="176">
        <f t="shared" si="11"/>
        <v>1459.97904384</v>
      </c>
      <c r="O73" s="190"/>
    </row>
    <row r="74" spans="1:16" x14ac:dyDescent="0.3">
      <c r="A74" s="52" t="s">
        <v>344</v>
      </c>
      <c r="B74" s="52" t="s">
        <v>58</v>
      </c>
      <c r="C74" s="53">
        <v>299386.8</v>
      </c>
      <c r="D74" s="53"/>
      <c r="E74" s="53">
        <f t="shared" si="4"/>
        <v>299386.8</v>
      </c>
      <c r="F74" s="53"/>
      <c r="G74" s="53">
        <f t="shared" si="0"/>
        <v>299386.8</v>
      </c>
      <c r="H74" s="53">
        <v>31744.440000000002</v>
      </c>
      <c r="I74" s="69">
        <f t="shared" si="9"/>
        <v>331131.24</v>
      </c>
      <c r="J74" s="69">
        <v>331131.24</v>
      </c>
      <c r="K74" s="53">
        <f t="shared" si="10"/>
        <v>345038.75208000001</v>
      </c>
      <c r="L74" s="176">
        <f t="shared" si="11"/>
        <v>360220.45717152004</v>
      </c>
      <c r="O74" s="190"/>
    </row>
    <row r="75" spans="1:16" x14ac:dyDescent="0.3">
      <c r="A75" s="52" t="s">
        <v>345</v>
      </c>
      <c r="B75" s="52" t="s">
        <v>121</v>
      </c>
      <c r="C75" s="53">
        <v>631526.01400417497</v>
      </c>
      <c r="D75" s="53"/>
      <c r="E75" s="53">
        <f t="shared" si="4"/>
        <v>631526.01400417497</v>
      </c>
      <c r="F75" s="53"/>
      <c r="G75" s="53">
        <f t="shared" si="0"/>
        <v>631526.01400417497</v>
      </c>
      <c r="H75" s="53">
        <v>-19002.410000700038</v>
      </c>
      <c r="I75" s="69">
        <f t="shared" si="9"/>
        <v>612523.60400347493</v>
      </c>
      <c r="J75" s="69">
        <v>658234.28513913741</v>
      </c>
      <c r="K75" s="53">
        <f t="shared" si="10"/>
        <v>685880.1251149812</v>
      </c>
      <c r="L75" s="176">
        <f t="shared" si="11"/>
        <v>716058.85062004044</v>
      </c>
      <c r="O75" s="190"/>
    </row>
    <row r="76" spans="1:16" x14ac:dyDescent="0.3">
      <c r="A76" s="52" t="s">
        <v>346</v>
      </c>
      <c r="B76" s="52" t="s">
        <v>347</v>
      </c>
      <c r="C76" s="53">
        <v>20831.039999999997</v>
      </c>
      <c r="D76" s="53"/>
      <c r="E76" s="53">
        <f t="shared" si="4"/>
        <v>20831.039999999997</v>
      </c>
      <c r="F76" s="53"/>
      <c r="G76" s="53">
        <f t="shared" si="0"/>
        <v>20831.039999999997</v>
      </c>
      <c r="H76" s="53">
        <v>584.63999999999942</v>
      </c>
      <c r="I76" s="69">
        <f t="shared" si="9"/>
        <v>21415.679999999997</v>
      </c>
      <c r="J76" s="69">
        <v>21415.679999999997</v>
      </c>
      <c r="K76" s="53">
        <f t="shared" si="10"/>
        <v>22315.138559999996</v>
      </c>
      <c r="L76" s="176">
        <f t="shared" si="11"/>
        <v>23297.004656639998</v>
      </c>
      <c r="O76" s="190"/>
    </row>
    <row r="77" spans="1:16" x14ac:dyDescent="0.3">
      <c r="A77" s="52" t="s">
        <v>594</v>
      </c>
      <c r="B77" s="52" t="s">
        <v>590</v>
      </c>
      <c r="C77" s="53">
        <v>10000</v>
      </c>
      <c r="D77" s="53"/>
      <c r="E77" s="53">
        <f t="shared" si="4"/>
        <v>10000</v>
      </c>
      <c r="F77" s="53"/>
      <c r="G77" s="53">
        <f t="shared" si="0"/>
        <v>10000</v>
      </c>
      <c r="H77" s="53">
        <v>35000</v>
      </c>
      <c r="I77" s="69">
        <f t="shared" si="9"/>
        <v>45000</v>
      </c>
      <c r="J77" s="69">
        <v>45000</v>
      </c>
      <c r="K77" s="53">
        <f t="shared" si="10"/>
        <v>46890</v>
      </c>
      <c r="L77" s="176">
        <f t="shared" si="11"/>
        <v>48953.16</v>
      </c>
      <c r="O77" s="190"/>
    </row>
    <row r="78" spans="1:16" x14ac:dyDescent="0.3">
      <c r="A78" s="52" t="s">
        <v>441</v>
      </c>
      <c r="B78" s="52" t="s">
        <v>431</v>
      </c>
      <c r="C78" s="53">
        <v>35000</v>
      </c>
      <c r="D78" s="53"/>
      <c r="E78" s="53">
        <f t="shared" si="4"/>
        <v>35000</v>
      </c>
      <c r="F78" s="53"/>
      <c r="G78" s="53">
        <f t="shared" si="0"/>
        <v>35000</v>
      </c>
      <c r="H78" s="53">
        <v>0</v>
      </c>
      <c r="I78" s="69">
        <f t="shared" si="9"/>
        <v>35000</v>
      </c>
      <c r="J78" s="69">
        <v>100000</v>
      </c>
      <c r="K78" s="53">
        <f t="shared" si="10"/>
        <v>104200</v>
      </c>
      <c r="L78" s="176">
        <f t="shared" si="11"/>
        <v>108784.8</v>
      </c>
      <c r="O78" s="190"/>
    </row>
    <row r="79" spans="1:16" x14ac:dyDescent="0.3">
      <c r="A79" s="52" t="s">
        <v>348</v>
      </c>
      <c r="B79" s="52" t="s">
        <v>124</v>
      </c>
      <c r="C79" s="53">
        <v>72646.312500000029</v>
      </c>
      <c r="D79" s="53"/>
      <c r="E79" s="53">
        <f t="shared" si="4"/>
        <v>72646.312500000029</v>
      </c>
      <c r="F79" s="53"/>
      <c r="G79" s="53">
        <f t="shared" si="0"/>
        <v>72646.312500000029</v>
      </c>
      <c r="H79" s="53">
        <v>0</v>
      </c>
      <c r="I79" s="69">
        <f t="shared" si="9"/>
        <v>72646.312500000029</v>
      </c>
      <c r="J79" s="69">
        <v>76823.902800000011</v>
      </c>
      <c r="K79" s="53">
        <f t="shared" si="10"/>
        <v>80050.506717600016</v>
      </c>
      <c r="L79" s="176">
        <f t="shared" si="11"/>
        <v>83572.729013174423</v>
      </c>
      <c r="O79" s="190"/>
    </row>
    <row r="80" spans="1:16" x14ac:dyDescent="0.3">
      <c r="A80" s="52" t="s">
        <v>349</v>
      </c>
      <c r="B80" s="52" t="s">
        <v>350</v>
      </c>
      <c r="C80" s="53">
        <v>20429.239999999998</v>
      </c>
      <c r="D80" s="53"/>
      <c r="E80" s="53">
        <f t="shared" si="4"/>
        <v>20429.239999999998</v>
      </c>
      <c r="F80" s="53"/>
      <c r="G80" s="53">
        <f t="shared" si="0"/>
        <v>20429.239999999998</v>
      </c>
      <c r="H80" s="53">
        <v>680.88000000000102</v>
      </c>
      <c r="I80" s="69">
        <f t="shared" si="9"/>
        <v>21110.12</v>
      </c>
      <c r="J80" s="69">
        <v>22376.727200000001</v>
      </c>
      <c r="K80" s="53">
        <f t="shared" si="10"/>
        <v>23316.549742400002</v>
      </c>
      <c r="L80" s="176">
        <f t="shared" si="11"/>
        <v>24342.477931065605</v>
      </c>
      <c r="O80" s="190"/>
    </row>
    <row r="81" spans="1:16" x14ac:dyDescent="0.3">
      <c r="A81" s="52" t="s">
        <v>351</v>
      </c>
      <c r="B81" s="52" t="s">
        <v>352</v>
      </c>
      <c r="C81" s="53">
        <v>80000</v>
      </c>
      <c r="D81" s="53"/>
      <c r="E81" s="53">
        <f t="shared" si="4"/>
        <v>80000</v>
      </c>
      <c r="F81" s="53"/>
      <c r="G81" s="53">
        <f t="shared" si="0"/>
        <v>80000</v>
      </c>
      <c r="H81" s="53">
        <v>-50000</v>
      </c>
      <c r="I81" s="69">
        <f t="shared" si="9"/>
        <v>30000</v>
      </c>
      <c r="J81" s="69">
        <v>30000</v>
      </c>
      <c r="K81" s="53">
        <f t="shared" si="10"/>
        <v>31260</v>
      </c>
      <c r="L81" s="176">
        <f t="shared" si="11"/>
        <v>32635.440000000002</v>
      </c>
      <c r="O81" s="190"/>
    </row>
    <row r="82" spans="1:16" x14ac:dyDescent="0.3">
      <c r="A82" s="52" t="s">
        <v>353</v>
      </c>
      <c r="B82" s="52" t="s">
        <v>354</v>
      </c>
      <c r="C82" s="53">
        <v>587883.50399999996</v>
      </c>
      <c r="D82" s="53"/>
      <c r="E82" s="53">
        <f t="shared" si="4"/>
        <v>587883.50399999996</v>
      </c>
      <c r="F82" s="53"/>
      <c r="G82" s="53">
        <f t="shared" si="0"/>
        <v>587883.50399999996</v>
      </c>
      <c r="H82" s="53">
        <v>1655.3760000000475</v>
      </c>
      <c r="I82" s="69">
        <f t="shared" si="9"/>
        <v>589538.88</v>
      </c>
      <c r="J82" s="69">
        <v>624911.21279999998</v>
      </c>
      <c r="K82" s="53">
        <f t="shared" si="10"/>
        <v>651157.48373760004</v>
      </c>
      <c r="L82" s="176">
        <f t="shared" si="11"/>
        <v>679808.41302205448</v>
      </c>
      <c r="O82" s="190"/>
    </row>
    <row r="83" spans="1:16" x14ac:dyDescent="0.3">
      <c r="A83" s="52" t="s">
        <v>355</v>
      </c>
      <c r="B83" s="52" t="s">
        <v>548</v>
      </c>
      <c r="C83" s="53">
        <v>20822.400000000001</v>
      </c>
      <c r="D83" s="53"/>
      <c r="E83" s="53">
        <f t="shared" ref="E83:E86" si="12">C83+D83</f>
        <v>20822.400000000001</v>
      </c>
      <c r="F83" s="53"/>
      <c r="G83" s="53">
        <f t="shared" ref="G83:G135" si="13">E83+F83</f>
        <v>20822.400000000001</v>
      </c>
      <c r="H83" s="53">
        <v>936</v>
      </c>
      <c r="I83" s="69">
        <f t="shared" si="9"/>
        <v>21758.400000000001</v>
      </c>
      <c r="J83" s="69">
        <v>21758.400000000001</v>
      </c>
      <c r="K83" s="53">
        <f t="shared" si="10"/>
        <v>22672.252800000002</v>
      </c>
      <c r="L83" s="176">
        <f t="shared" si="11"/>
        <v>23669.831923200003</v>
      </c>
      <c r="O83" s="190"/>
    </row>
    <row r="84" spans="1:16" x14ac:dyDescent="0.3">
      <c r="A84" s="52" t="s">
        <v>550</v>
      </c>
      <c r="B84" s="52" t="s">
        <v>549</v>
      </c>
      <c r="C84" s="53">
        <v>100000</v>
      </c>
      <c r="D84" s="53"/>
      <c r="E84" s="53">
        <f t="shared" si="12"/>
        <v>100000</v>
      </c>
      <c r="F84" s="53"/>
      <c r="G84" s="53">
        <f t="shared" si="13"/>
        <v>100000</v>
      </c>
      <c r="H84" s="53">
        <v>-100000</v>
      </c>
      <c r="I84" s="69">
        <f t="shared" si="9"/>
        <v>0</v>
      </c>
      <c r="J84" s="69"/>
      <c r="K84" s="53">
        <f t="shared" si="10"/>
        <v>0</v>
      </c>
      <c r="L84" s="176">
        <f t="shared" si="11"/>
        <v>0</v>
      </c>
      <c r="O84" s="190"/>
    </row>
    <row r="85" spans="1:16" x14ac:dyDescent="0.3">
      <c r="A85" s="52" t="s">
        <v>356</v>
      </c>
      <c r="B85" s="52" t="s">
        <v>357</v>
      </c>
      <c r="C85" s="53">
        <v>1784.6399999999999</v>
      </c>
      <c r="D85" s="53"/>
      <c r="E85" s="53">
        <f t="shared" si="12"/>
        <v>1784.6399999999999</v>
      </c>
      <c r="F85" s="53"/>
      <c r="G85" s="53">
        <f t="shared" si="13"/>
        <v>1784.6399999999999</v>
      </c>
      <c r="H85" s="53">
        <v>0</v>
      </c>
      <c r="I85" s="69">
        <f t="shared" si="9"/>
        <v>1784.6399999999999</v>
      </c>
      <c r="J85" s="69">
        <v>1784.6399999999999</v>
      </c>
      <c r="K85" s="53">
        <f t="shared" si="10"/>
        <v>1859.5948799999999</v>
      </c>
      <c r="L85" s="176">
        <f t="shared" si="11"/>
        <v>1941.4170547199999</v>
      </c>
      <c r="O85" s="190"/>
    </row>
    <row r="86" spans="1:16" ht="13.5" thickBot="1" x14ac:dyDescent="0.35">
      <c r="A86" s="56" t="s">
        <v>358</v>
      </c>
      <c r="B86" s="56" t="s">
        <v>359</v>
      </c>
      <c r="C86" s="53">
        <v>195365.04</v>
      </c>
      <c r="D86" s="53"/>
      <c r="E86" s="53">
        <f t="shared" si="12"/>
        <v>195365.04</v>
      </c>
      <c r="F86" s="53"/>
      <c r="G86" s="53">
        <f t="shared" si="13"/>
        <v>195365.04</v>
      </c>
      <c r="H86" s="53">
        <v>8400.7200000000012</v>
      </c>
      <c r="I86" s="69">
        <f t="shared" si="9"/>
        <v>203765.76000000001</v>
      </c>
      <c r="J86" s="69">
        <v>215991.70560000002</v>
      </c>
      <c r="K86" s="53">
        <f t="shared" si="10"/>
        <v>225063.35723520003</v>
      </c>
      <c r="L86" s="176">
        <f t="shared" si="11"/>
        <v>234966.14495354885</v>
      </c>
      <c r="O86" s="190"/>
    </row>
    <row r="87" spans="1:16" s="77" customFormat="1" ht="13.5" thickBot="1" x14ac:dyDescent="0.35">
      <c r="A87" s="57" t="s">
        <v>257</v>
      </c>
      <c r="B87" s="57"/>
      <c r="C87" s="59">
        <f>SUM(C71:C86)</f>
        <v>6203952.6510829255</v>
      </c>
      <c r="D87" s="59">
        <f t="shared" ref="D87:L87" si="14">SUM(D71:D86)</f>
        <v>0</v>
      </c>
      <c r="E87" s="59">
        <f t="shared" si="14"/>
        <v>6203952.6510829255</v>
      </c>
      <c r="F87" s="59">
        <f t="shared" si="14"/>
        <v>0</v>
      </c>
      <c r="G87" s="59">
        <f t="shared" si="14"/>
        <v>6203952.6510829255</v>
      </c>
      <c r="H87" s="59">
        <f t="shared" si="14"/>
        <v>-144184.10542820024</v>
      </c>
      <c r="I87" s="59">
        <f t="shared" si="14"/>
        <v>6059768.5456547244</v>
      </c>
      <c r="J87" s="59">
        <f t="shared" si="14"/>
        <v>6697968.7039177781</v>
      </c>
      <c r="K87" s="59">
        <f t="shared" si="14"/>
        <v>6979283.3894823249</v>
      </c>
      <c r="L87" s="59">
        <f t="shared" si="14"/>
        <v>7286371.8586195502</v>
      </c>
      <c r="M87" s="180"/>
      <c r="N87" s="193"/>
      <c r="O87" s="193"/>
      <c r="P87" s="193"/>
    </row>
    <row r="88" spans="1:16" s="77" customFormat="1" ht="14" thickTop="1" thickBot="1" x14ac:dyDescent="0.35">
      <c r="A88" s="98"/>
      <c r="B88" s="98"/>
      <c r="C88" s="99"/>
      <c r="D88" s="99"/>
      <c r="E88" s="99"/>
      <c r="F88" s="99"/>
      <c r="G88" s="53">
        <f t="shared" si="13"/>
        <v>0</v>
      </c>
      <c r="H88" s="79"/>
      <c r="I88" s="79"/>
      <c r="J88" s="79"/>
      <c r="K88" s="99"/>
      <c r="L88" s="221"/>
      <c r="M88" s="180"/>
      <c r="N88" s="193"/>
      <c r="O88" s="219"/>
      <c r="P88" s="193"/>
    </row>
    <row r="89" spans="1:16" s="77" customFormat="1" ht="13.5" thickBot="1" x14ac:dyDescent="0.35">
      <c r="A89" s="75" t="s">
        <v>678</v>
      </c>
      <c r="B89" s="75"/>
      <c r="C89" s="100">
        <f>C87+C68</f>
        <v>12369471.884063713</v>
      </c>
      <c r="D89" s="100">
        <f t="shared" ref="D89:L89" si="15">D87+D68</f>
        <v>0</v>
      </c>
      <c r="E89" s="100">
        <f t="shared" si="15"/>
        <v>12369471.884063713</v>
      </c>
      <c r="F89" s="100">
        <f t="shared" si="15"/>
        <v>3000000</v>
      </c>
      <c r="G89" s="100">
        <f t="shared" si="15"/>
        <v>15369471.884063713</v>
      </c>
      <c r="H89" s="100">
        <f t="shared" si="15"/>
        <v>-1972495.5954282004</v>
      </c>
      <c r="I89" s="100">
        <f t="shared" si="15"/>
        <v>13396976.288635511</v>
      </c>
      <c r="J89" s="100">
        <f>J87+J68</f>
        <v>10856529.65051939</v>
      </c>
      <c r="K89" s="100">
        <f t="shared" si="15"/>
        <v>11312503.895841205</v>
      </c>
      <c r="L89" s="100">
        <f t="shared" si="15"/>
        <v>11810254.06725822</v>
      </c>
      <c r="M89" s="180"/>
      <c r="N89" s="193"/>
      <c r="O89" s="193"/>
      <c r="P89" s="193"/>
    </row>
    <row r="90" spans="1:16" s="77" customFormat="1" x14ac:dyDescent="0.3">
      <c r="A90" s="60"/>
      <c r="B90" s="60"/>
      <c r="C90" s="78"/>
      <c r="D90" s="78"/>
      <c r="E90" s="78"/>
      <c r="F90" s="78"/>
      <c r="G90" s="53">
        <f t="shared" si="13"/>
        <v>0</v>
      </c>
      <c r="H90" s="62"/>
      <c r="I90" s="62"/>
      <c r="J90" s="62"/>
      <c r="K90" s="78"/>
      <c r="L90" s="178"/>
      <c r="M90" s="180"/>
      <c r="N90" s="193"/>
      <c r="O90" s="219"/>
      <c r="P90" s="193"/>
    </row>
    <row r="91" spans="1:16" s="77" customFormat="1" x14ac:dyDescent="0.3">
      <c r="A91" s="163" t="s">
        <v>677</v>
      </c>
      <c r="B91" s="163"/>
      <c r="C91" s="163"/>
      <c r="D91" s="163"/>
      <c r="E91" s="163"/>
      <c r="F91" s="163"/>
      <c r="G91" s="53">
        <f t="shared" si="13"/>
        <v>0</v>
      </c>
      <c r="H91" s="53"/>
      <c r="I91" s="53"/>
      <c r="J91" s="53"/>
      <c r="K91" s="163"/>
      <c r="L91" s="222"/>
      <c r="M91" s="180"/>
      <c r="N91" s="193"/>
      <c r="O91" s="219"/>
      <c r="P91" s="193"/>
    </row>
    <row r="92" spans="1:16" s="77" customFormat="1" x14ac:dyDescent="0.3">
      <c r="A92" s="51"/>
      <c r="B92" s="51"/>
      <c r="C92" s="67"/>
      <c r="D92" s="67"/>
      <c r="E92" s="67"/>
      <c r="F92" s="67"/>
      <c r="G92" s="53">
        <f t="shared" si="13"/>
        <v>0</v>
      </c>
      <c r="H92" s="53"/>
      <c r="I92" s="53"/>
      <c r="J92" s="53"/>
      <c r="K92" s="67"/>
      <c r="L92" s="185"/>
      <c r="M92" s="180"/>
      <c r="N92" s="193"/>
      <c r="O92" s="219"/>
      <c r="P92" s="193"/>
    </row>
    <row r="93" spans="1:16" s="77" customFormat="1" x14ac:dyDescent="0.3">
      <c r="A93" s="51" t="s">
        <v>458</v>
      </c>
      <c r="B93" s="51"/>
      <c r="C93" s="67"/>
      <c r="D93" s="67"/>
      <c r="E93" s="67"/>
      <c r="F93" s="67"/>
      <c r="G93" s="53">
        <f t="shared" si="13"/>
        <v>0</v>
      </c>
      <c r="H93" s="53"/>
      <c r="I93" s="53"/>
      <c r="J93" s="53"/>
      <c r="K93" s="67"/>
      <c r="L93" s="185"/>
      <c r="M93" s="180"/>
      <c r="N93" s="193"/>
      <c r="O93" s="219"/>
      <c r="P93" s="193"/>
    </row>
    <row r="94" spans="1:16" x14ac:dyDescent="0.3">
      <c r="A94" s="52" t="s">
        <v>1200</v>
      </c>
      <c r="B94" s="52" t="s">
        <v>1278</v>
      </c>
      <c r="C94" s="53">
        <v>700000</v>
      </c>
      <c r="D94" s="53"/>
      <c r="E94" s="53">
        <f t="shared" ref="E94:E119" si="16">C94+D94</f>
        <v>700000</v>
      </c>
      <c r="F94" s="53"/>
      <c r="G94" s="53">
        <f t="shared" si="13"/>
        <v>700000</v>
      </c>
      <c r="H94" s="53">
        <f>669940+200000</f>
        <v>869940</v>
      </c>
      <c r="I94" s="69">
        <f t="shared" ref="I94:I119" si="17">G94+H94</f>
        <v>1569940</v>
      </c>
      <c r="J94" s="69">
        <v>500000</v>
      </c>
      <c r="K94" s="53">
        <f t="shared" ref="K94:K119" si="18">J94*104.2%</f>
        <v>521000</v>
      </c>
      <c r="L94" s="176">
        <f t="shared" ref="L94:L119" si="19">K94*104.4%</f>
        <v>543924</v>
      </c>
      <c r="O94" s="190"/>
    </row>
    <row r="95" spans="1:16" x14ac:dyDescent="0.3">
      <c r="A95" s="52" t="s">
        <v>1164</v>
      </c>
      <c r="B95" s="52" t="s">
        <v>1165</v>
      </c>
      <c r="C95" s="53">
        <v>500000</v>
      </c>
      <c r="D95" s="53"/>
      <c r="E95" s="53">
        <f t="shared" si="16"/>
        <v>500000</v>
      </c>
      <c r="F95" s="53"/>
      <c r="G95" s="53">
        <f t="shared" si="13"/>
        <v>500000</v>
      </c>
      <c r="H95" s="53">
        <v>-65217.390000000014</v>
      </c>
      <c r="I95" s="69">
        <f t="shared" si="17"/>
        <v>434782.61</v>
      </c>
      <c r="J95" s="69">
        <v>250000</v>
      </c>
      <c r="K95" s="53">
        <f t="shared" si="18"/>
        <v>260500</v>
      </c>
      <c r="L95" s="176">
        <f t="shared" si="19"/>
        <v>271962</v>
      </c>
      <c r="O95" s="190"/>
    </row>
    <row r="96" spans="1:16" x14ac:dyDescent="0.3">
      <c r="A96" s="52"/>
      <c r="B96" s="52"/>
      <c r="C96" s="53">
        <v>0</v>
      </c>
      <c r="D96" s="53"/>
      <c r="E96" s="53">
        <f t="shared" si="16"/>
        <v>0</v>
      </c>
      <c r="F96" s="53"/>
      <c r="G96" s="53">
        <f t="shared" si="13"/>
        <v>0</v>
      </c>
      <c r="H96" s="53"/>
      <c r="I96" s="69">
        <f t="shared" si="17"/>
        <v>0</v>
      </c>
      <c r="J96" s="69"/>
      <c r="K96" s="53">
        <f t="shared" si="18"/>
        <v>0</v>
      </c>
      <c r="L96" s="176">
        <f t="shared" si="19"/>
        <v>0</v>
      </c>
      <c r="O96" s="190"/>
    </row>
    <row r="97" spans="1:15" x14ac:dyDescent="0.3">
      <c r="A97" s="52"/>
      <c r="B97" s="51" t="s">
        <v>545</v>
      </c>
      <c r="C97" s="53">
        <v>0</v>
      </c>
      <c r="D97" s="53"/>
      <c r="E97" s="53">
        <f t="shared" si="16"/>
        <v>0</v>
      </c>
      <c r="F97" s="53"/>
      <c r="G97" s="53">
        <f t="shared" si="13"/>
        <v>0</v>
      </c>
      <c r="H97" s="53"/>
      <c r="I97" s="69">
        <f t="shared" si="17"/>
        <v>0</v>
      </c>
      <c r="J97" s="69"/>
      <c r="K97" s="53">
        <f t="shared" si="18"/>
        <v>0</v>
      </c>
      <c r="L97" s="176">
        <f t="shared" si="19"/>
        <v>0</v>
      </c>
      <c r="O97" s="190"/>
    </row>
    <row r="98" spans="1:15" x14ac:dyDescent="0.3">
      <c r="A98" s="52" t="s">
        <v>1359</v>
      </c>
      <c r="B98" s="52" t="s">
        <v>1360</v>
      </c>
      <c r="C98" s="53"/>
      <c r="D98" s="53"/>
      <c r="E98" s="53"/>
      <c r="F98" s="53"/>
      <c r="G98" s="53"/>
      <c r="H98" s="53"/>
      <c r="I98" s="69"/>
      <c r="J98" s="69"/>
      <c r="K98" s="53">
        <f t="shared" si="18"/>
        <v>0</v>
      </c>
      <c r="L98" s="176">
        <f t="shared" si="19"/>
        <v>0</v>
      </c>
      <c r="O98" s="190"/>
    </row>
    <row r="99" spans="1:15" x14ac:dyDescent="0.3">
      <c r="A99" s="52" t="s">
        <v>1189</v>
      </c>
      <c r="B99" s="52" t="s">
        <v>546</v>
      </c>
      <c r="C99" s="53">
        <v>400000</v>
      </c>
      <c r="D99" s="53">
        <v>800000</v>
      </c>
      <c r="E99" s="53">
        <f t="shared" si="16"/>
        <v>1200000</v>
      </c>
      <c r="F99" s="53"/>
      <c r="G99" s="53">
        <f t="shared" si="13"/>
        <v>1200000</v>
      </c>
      <c r="H99" s="53">
        <f>100000+100000</f>
        <v>200000</v>
      </c>
      <c r="I99" s="69">
        <f t="shared" si="17"/>
        <v>1400000</v>
      </c>
      <c r="J99" s="69"/>
      <c r="K99" s="53">
        <f t="shared" si="18"/>
        <v>0</v>
      </c>
      <c r="L99" s="176">
        <f t="shared" si="19"/>
        <v>0</v>
      </c>
      <c r="O99" s="190"/>
    </row>
    <row r="100" spans="1:15" x14ac:dyDescent="0.3">
      <c r="A100" s="52" t="s">
        <v>1190</v>
      </c>
      <c r="B100" s="52" t="s">
        <v>547</v>
      </c>
      <c r="C100" s="53">
        <v>400000</v>
      </c>
      <c r="D100" s="53"/>
      <c r="E100" s="53">
        <f t="shared" si="16"/>
        <v>400000</v>
      </c>
      <c r="F100" s="53"/>
      <c r="G100" s="53">
        <f t="shared" si="13"/>
        <v>400000</v>
      </c>
      <c r="H100" s="53">
        <v>1200000</v>
      </c>
      <c r="I100" s="69">
        <f t="shared" si="17"/>
        <v>1600000</v>
      </c>
      <c r="J100" s="69">
        <v>200000</v>
      </c>
      <c r="K100" s="53">
        <f t="shared" si="18"/>
        <v>208400</v>
      </c>
      <c r="L100" s="176">
        <f t="shared" si="19"/>
        <v>217569.6</v>
      </c>
      <c r="O100" s="190"/>
    </row>
    <row r="101" spans="1:15" x14ac:dyDescent="0.3">
      <c r="A101" s="52"/>
      <c r="B101" s="52" t="s">
        <v>1361</v>
      </c>
      <c r="C101" s="53"/>
      <c r="D101" s="53"/>
      <c r="E101" s="53"/>
      <c r="F101" s="53"/>
      <c r="G101" s="53"/>
      <c r="H101" s="53"/>
      <c r="I101" s="69"/>
      <c r="J101" s="69">
        <v>500000</v>
      </c>
      <c r="K101" s="53">
        <f t="shared" si="18"/>
        <v>521000</v>
      </c>
      <c r="L101" s="176">
        <f t="shared" si="19"/>
        <v>543924</v>
      </c>
      <c r="O101" s="190"/>
    </row>
    <row r="102" spans="1:15" x14ac:dyDescent="0.3">
      <c r="A102" s="52" t="s">
        <v>336</v>
      </c>
      <c r="B102" s="52" t="s">
        <v>48</v>
      </c>
      <c r="C102" s="53"/>
      <c r="D102" s="53"/>
      <c r="E102" s="53"/>
      <c r="F102" s="53"/>
      <c r="G102" s="53"/>
      <c r="H102" s="53"/>
      <c r="I102" s="69"/>
      <c r="J102" s="69">
        <v>23889.08</v>
      </c>
      <c r="K102" s="53">
        <f t="shared" si="18"/>
        <v>24892.421360000004</v>
      </c>
      <c r="L102" s="176">
        <f t="shared" si="19"/>
        <v>25987.687899840006</v>
      </c>
      <c r="O102" s="190"/>
    </row>
    <row r="103" spans="1:15" x14ac:dyDescent="0.3">
      <c r="A103" s="52"/>
      <c r="B103" s="52"/>
      <c r="C103" s="53">
        <v>0</v>
      </c>
      <c r="D103" s="53"/>
      <c r="E103" s="53">
        <f t="shared" si="16"/>
        <v>0</v>
      </c>
      <c r="F103" s="53"/>
      <c r="G103" s="53">
        <f t="shared" si="13"/>
        <v>0</v>
      </c>
      <c r="H103" s="53"/>
      <c r="I103" s="69">
        <f t="shared" si="17"/>
        <v>0</v>
      </c>
      <c r="J103" s="69"/>
      <c r="K103" s="53">
        <f t="shared" si="18"/>
        <v>0</v>
      </c>
      <c r="L103" s="176">
        <f t="shared" si="19"/>
        <v>0</v>
      </c>
      <c r="O103" s="190"/>
    </row>
    <row r="104" spans="1:15" x14ac:dyDescent="0.3">
      <c r="A104" s="52"/>
      <c r="B104" s="51" t="s">
        <v>554</v>
      </c>
      <c r="C104" s="53">
        <v>0</v>
      </c>
      <c r="D104" s="53"/>
      <c r="E104" s="53">
        <f t="shared" si="16"/>
        <v>0</v>
      </c>
      <c r="F104" s="53"/>
      <c r="G104" s="53">
        <f t="shared" si="13"/>
        <v>0</v>
      </c>
      <c r="H104" s="53"/>
      <c r="I104" s="69">
        <f t="shared" si="17"/>
        <v>0</v>
      </c>
      <c r="J104" s="69"/>
      <c r="K104" s="53">
        <f t="shared" si="18"/>
        <v>0</v>
      </c>
      <c r="L104" s="176">
        <f t="shared" si="19"/>
        <v>0</v>
      </c>
      <c r="O104" s="190"/>
    </row>
    <row r="105" spans="1:15" x14ac:dyDescent="0.3">
      <c r="A105" s="52" t="s">
        <v>1192</v>
      </c>
      <c r="B105" s="52" t="s">
        <v>1191</v>
      </c>
      <c r="C105" s="53">
        <v>1600000</v>
      </c>
      <c r="D105" s="53">
        <v>-800000</v>
      </c>
      <c r="E105" s="53">
        <f t="shared" si="16"/>
        <v>800000</v>
      </c>
      <c r="F105" s="53"/>
      <c r="G105" s="53">
        <f t="shared" si="13"/>
        <v>800000</v>
      </c>
      <c r="H105" s="53">
        <f>294707.95286575-94707</f>
        <v>200000.95286575001</v>
      </c>
      <c r="I105" s="69">
        <f t="shared" si="17"/>
        <v>1000000.9528657501</v>
      </c>
      <c r="J105" s="69">
        <v>1200000</v>
      </c>
      <c r="K105" s="53">
        <f t="shared" si="18"/>
        <v>1250400</v>
      </c>
      <c r="L105" s="176">
        <f t="shared" si="19"/>
        <v>1305417.6000000001</v>
      </c>
      <c r="O105" s="190"/>
    </row>
    <row r="106" spans="1:15" x14ac:dyDescent="0.3">
      <c r="A106" s="52" t="s">
        <v>1194</v>
      </c>
      <c r="B106" s="52" t="s">
        <v>1193</v>
      </c>
      <c r="C106" s="53">
        <v>50000</v>
      </c>
      <c r="D106" s="53"/>
      <c r="E106" s="53">
        <f t="shared" si="16"/>
        <v>50000</v>
      </c>
      <c r="F106" s="53"/>
      <c r="G106" s="53">
        <f t="shared" si="13"/>
        <v>50000</v>
      </c>
      <c r="H106" s="53">
        <v>19580</v>
      </c>
      <c r="I106" s="69">
        <f t="shared" si="17"/>
        <v>69580</v>
      </c>
      <c r="J106" s="69">
        <v>50000</v>
      </c>
      <c r="K106" s="53">
        <f t="shared" si="18"/>
        <v>52100</v>
      </c>
      <c r="L106" s="176">
        <f t="shared" si="19"/>
        <v>54392.4</v>
      </c>
      <c r="O106" s="190"/>
    </row>
    <row r="107" spans="1:15" x14ac:dyDescent="0.3">
      <c r="A107" s="56" t="s">
        <v>1192</v>
      </c>
      <c r="B107" s="52" t="s">
        <v>1364</v>
      </c>
      <c r="C107" s="69"/>
      <c r="D107" s="69"/>
      <c r="E107" s="53"/>
      <c r="F107" s="69"/>
      <c r="G107" s="53"/>
      <c r="H107" s="69"/>
      <c r="I107" s="69"/>
      <c r="J107" s="69">
        <v>200000</v>
      </c>
      <c r="K107" s="53">
        <f t="shared" si="18"/>
        <v>208400</v>
      </c>
      <c r="L107" s="176">
        <f t="shared" si="19"/>
        <v>217569.6</v>
      </c>
      <c r="O107" s="190"/>
    </row>
    <row r="108" spans="1:15" ht="14.5" x14ac:dyDescent="0.35">
      <c r="A108" s="56"/>
      <c r="B108" s="233"/>
      <c r="C108" s="69"/>
      <c r="D108" s="69"/>
      <c r="E108" s="53"/>
      <c r="F108" s="69"/>
      <c r="G108" s="53"/>
      <c r="H108" s="69"/>
      <c r="I108" s="69"/>
      <c r="J108" s="69"/>
      <c r="K108" s="53">
        <f t="shared" si="18"/>
        <v>0</v>
      </c>
      <c r="L108" s="176">
        <f t="shared" si="19"/>
        <v>0</v>
      </c>
      <c r="O108" s="190"/>
    </row>
    <row r="109" spans="1:15" ht="26" x14ac:dyDescent="0.6">
      <c r="A109" s="56"/>
      <c r="B109" s="234" t="s">
        <v>459</v>
      </c>
      <c r="C109" s="69"/>
      <c r="D109" s="69"/>
      <c r="E109" s="53"/>
      <c r="F109" s="69"/>
      <c r="G109" s="53"/>
      <c r="H109" s="69"/>
      <c r="I109" s="69"/>
      <c r="J109" s="69"/>
      <c r="K109" s="53">
        <f t="shared" si="18"/>
        <v>0</v>
      </c>
      <c r="L109" s="176">
        <f t="shared" si="19"/>
        <v>0</v>
      </c>
      <c r="O109" s="190"/>
    </row>
    <row r="110" spans="1:15" ht="14.5" x14ac:dyDescent="0.35">
      <c r="A110" s="56" t="s">
        <v>1333</v>
      </c>
      <c r="B110" s="233" t="s">
        <v>44</v>
      </c>
      <c r="C110" s="69"/>
      <c r="D110" s="69"/>
      <c r="E110" s="53">
        <v>0</v>
      </c>
      <c r="F110" s="69"/>
      <c r="G110" s="53"/>
      <c r="H110" s="69"/>
      <c r="I110" s="69"/>
      <c r="J110" s="69"/>
      <c r="K110" s="53">
        <f t="shared" si="18"/>
        <v>0</v>
      </c>
      <c r="L110" s="176">
        <f t="shared" si="19"/>
        <v>0</v>
      </c>
      <c r="O110" s="190"/>
    </row>
    <row r="111" spans="1:15" ht="14.5" x14ac:dyDescent="0.35">
      <c r="A111" s="56" t="s">
        <v>1332</v>
      </c>
      <c r="B111" s="233" t="s">
        <v>42</v>
      </c>
      <c r="C111" s="69"/>
      <c r="D111" s="69"/>
      <c r="E111" s="53">
        <v>0</v>
      </c>
      <c r="F111" s="69"/>
      <c r="G111" s="53"/>
      <c r="H111" s="69"/>
      <c r="I111" s="69"/>
      <c r="J111" s="69"/>
      <c r="K111" s="53">
        <f t="shared" si="18"/>
        <v>0</v>
      </c>
      <c r="L111" s="176">
        <f t="shared" si="19"/>
        <v>0</v>
      </c>
      <c r="O111" s="190"/>
    </row>
    <row r="112" spans="1:15" ht="14.5" x14ac:dyDescent="0.35">
      <c r="A112" s="56" t="s">
        <v>1367</v>
      </c>
      <c r="B112" s="233" t="s">
        <v>110</v>
      </c>
      <c r="C112" s="69"/>
      <c r="D112" s="69"/>
      <c r="E112" s="53">
        <v>0</v>
      </c>
      <c r="F112" s="69"/>
      <c r="G112" s="53"/>
      <c r="H112" s="69"/>
      <c r="I112" s="69"/>
      <c r="J112" s="69"/>
      <c r="K112" s="53">
        <f t="shared" si="18"/>
        <v>0</v>
      </c>
      <c r="L112" s="176">
        <f t="shared" si="19"/>
        <v>0</v>
      </c>
      <c r="O112" s="190"/>
    </row>
    <row r="113" spans="1:16" ht="14.5" x14ac:dyDescent="0.35">
      <c r="A113" s="56" t="s">
        <v>1344</v>
      </c>
      <c r="B113" s="233" t="s">
        <v>101</v>
      </c>
      <c r="C113" s="69"/>
      <c r="D113" s="69"/>
      <c r="E113" s="53">
        <v>0</v>
      </c>
      <c r="F113" s="69"/>
      <c r="G113" s="53"/>
      <c r="H113" s="69"/>
      <c r="I113" s="69"/>
      <c r="J113" s="69"/>
      <c r="K113" s="53">
        <f t="shared" si="18"/>
        <v>0</v>
      </c>
      <c r="L113" s="176">
        <f t="shared" si="19"/>
        <v>0</v>
      </c>
      <c r="O113" s="190"/>
    </row>
    <row r="114" spans="1:16" ht="14.5" x14ac:dyDescent="0.35">
      <c r="A114" s="56" t="s">
        <v>1345</v>
      </c>
      <c r="B114" s="233" t="s">
        <v>1370</v>
      </c>
      <c r="C114" s="69"/>
      <c r="D114" s="69"/>
      <c r="E114" s="53">
        <v>0</v>
      </c>
      <c r="F114" s="69"/>
      <c r="G114" s="53"/>
      <c r="H114" s="69"/>
      <c r="I114" s="69"/>
      <c r="J114" s="69"/>
      <c r="K114" s="53">
        <f t="shared" si="18"/>
        <v>0</v>
      </c>
      <c r="L114" s="176">
        <f t="shared" si="19"/>
        <v>0</v>
      </c>
      <c r="O114" s="190"/>
    </row>
    <row r="115" spans="1:16" ht="14.5" x14ac:dyDescent="0.35">
      <c r="A115" s="56" t="s">
        <v>1368</v>
      </c>
      <c r="B115" s="233" t="s">
        <v>1371</v>
      </c>
      <c r="C115" s="69"/>
      <c r="D115" s="69"/>
      <c r="E115" s="53">
        <v>0</v>
      </c>
      <c r="F115" s="69"/>
      <c r="G115" s="53"/>
      <c r="H115" s="69"/>
      <c r="I115" s="69"/>
      <c r="J115" s="69"/>
      <c r="K115" s="53">
        <f t="shared" si="18"/>
        <v>0</v>
      </c>
      <c r="L115" s="176">
        <f t="shared" si="19"/>
        <v>0</v>
      </c>
      <c r="O115" s="190"/>
    </row>
    <row r="116" spans="1:16" ht="14.5" x14ac:dyDescent="0.35">
      <c r="A116" s="56" t="s">
        <v>1369</v>
      </c>
      <c r="B116" s="233" t="s">
        <v>99</v>
      </c>
      <c r="C116" s="69"/>
      <c r="D116" s="69"/>
      <c r="E116" s="53">
        <v>0</v>
      </c>
      <c r="F116" s="69"/>
      <c r="G116" s="53"/>
      <c r="H116" s="69"/>
      <c r="I116" s="69"/>
      <c r="J116" s="69"/>
      <c r="K116" s="53">
        <f t="shared" si="18"/>
        <v>0</v>
      </c>
      <c r="L116" s="176">
        <f t="shared" si="19"/>
        <v>0</v>
      </c>
      <c r="O116" s="190"/>
    </row>
    <row r="117" spans="1:16" ht="14.5" x14ac:dyDescent="0.35">
      <c r="A117" s="56"/>
      <c r="B117" s="233" t="s">
        <v>40</v>
      </c>
      <c r="C117" s="69"/>
      <c r="D117" s="69"/>
      <c r="E117" s="53">
        <v>0</v>
      </c>
      <c r="F117" s="69"/>
      <c r="G117" s="53"/>
      <c r="H117" s="69"/>
      <c r="I117" s="69"/>
      <c r="J117" s="69"/>
      <c r="K117" s="53">
        <f t="shared" si="18"/>
        <v>0</v>
      </c>
      <c r="L117" s="176">
        <f t="shared" si="19"/>
        <v>0</v>
      </c>
      <c r="O117" s="190"/>
    </row>
    <row r="118" spans="1:16" x14ac:dyDescent="0.3">
      <c r="A118" s="56"/>
      <c r="B118" s="56"/>
      <c r="C118" s="69"/>
      <c r="D118" s="69"/>
      <c r="E118" s="53"/>
      <c r="F118" s="69"/>
      <c r="G118" s="53"/>
      <c r="H118" s="69"/>
      <c r="I118" s="69"/>
      <c r="J118" s="69"/>
      <c r="K118" s="53">
        <f t="shared" si="18"/>
        <v>0</v>
      </c>
      <c r="L118" s="176">
        <f t="shared" si="19"/>
        <v>0</v>
      </c>
      <c r="O118" s="190"/>
    </row>
    <row r="119" spans="1:16" ht="13.5" thickBot="1" x14ac:dyDescent="0.35">
      <c r="A119" s="56"/>
      <c r="B119" s="56"/>
      <c r="C119" s="69"/>
      <c r="D119" s="69"/>
      <c r="E119" s="53">
        <f t="shared" si="16"/>
        <v>0</v>
      </c>
      <c r="F119" s="69"/>
      <c r="G119" s="53">
        <f t="shared" si="13"/>
        <v>0</v>
      </c>
      <c r="H119" s="69"/>
      <c r="I119" s="69">
        <f t="shared" si="17"/>
        <v>0</v>
      </c>
      <c r="J119" s="69"/>
      <c r="K119" s="53">
        <f t="shared" si="18"/>
        <v>0</v>
      </c>
      <c r="L119" s="176">
        <f t="shared" si="19"/>
        <v>0</v>
      </c>
      <c r="O119" s="190"/>
    </row>
    <row r="120" spans="1:16" s="77" customFormat="1" ht="13.5" thickBot="1" x14ac:dyDescent="0.35">
      <c r="A120" s="57" t="s">
        <v>681</v>
      </c>
      <c r="B120" s="57"/>
      <c r="C120" s="59">
        <f t="shared" ref="C120:L120" si="20">SUM(C94:C119)</f>
        <v>3650000</v>
      </c>
      <c r="D120" s="59">
        <f t="shared" si="20"/>
        <v>0</v>
      </c>
      <c r="E120" s="59">
        <f t="shared" si="20"/>
        <v>3650000</v>
      </c>
      <c r="F120" s="59">
        <f t="shared" si="20"/>
        <v>0</v>
      </c>
      <c r="G120" s="59">
        <f t="shared" si="20"/>
        <v>3650000</v>
      </c>
      <c r="H120" s="59">
        <f t="shared" si="20"/>
        <v>2424303.5628657499</v>
      </c>
      <c r="I120" s="59">
        <f t="shared" si="20"/>
        <v>6074303.562865749</v>
      </c>
      <c r="J120" s="59">
        <f>SUM(J94:J119)</f>
        <v>2923889.08</v>
      </c>
      <c r="K120" s="59">
        <f t="shared" si="20"/>
        <v>3046692.42136</v>
      </c>
      <c r="L120" s="59">
        <f t="shared" si="20"/>
        <v>3180746.8878998403</v>
      </c>
      <c r="M120" s="180"/>
      <c r="N120" s="193"/>
      <c r="O120" s="193"/>
      <c r="P120" s="193"/>
    </row>
    <row r="121" spans="1:16" ht="13.5" thickTop="1" x14ac:dyDescent="0.3">
      <c r="A121" s="61"/>
      <c r="B121" s="61"/>
      <c r="C121" s="62"/>
      <c r="D121" s="62"/>
      <c r="E121" s="62"/>
      <c r="F121" s="62"/>
      <c r="G121" s="53">
        <f t="shared" si="13"/>
        <v>0</v>
      </c>
      <c r="H121" s="62"/>
      <c r="I121" s="62"/>
      <c r="J121" s="62"/>
      <c r="K121" s="62"/>
      <c r="L121" s="184"/>
    </row>
    <row r="122" spans="1:16" x14ac:dyDescent="0.3">
      <c r="A122" s="51" t="s">
        <v>396</v>
      </c>
      <c r="B122" s="52"/>
      <c r="C122" s="53"/>
      <c r="D122" s="53"/>
      <c r="E122" s="53"/>
      <c r="F122" s="53"/>
      <c r="G122" s="53">
        <f t="shared" si="13"/>
        <v>0</v>
      </c>
      <c r="H122" s="53"/>
      <c r="I122" s="53"/>
      <c r="J122" s="53"/>
      <c r="K122" s="53"/>
      <c r="L122" s="176"/>
    </row>
    <row r="123" spans="1:16" x14ac:dyDescent="0.3">
      <c r="A123" s="52"/>
      <c r="B123" s="52" t="s">
        <v>183</v>
      </c>
      <c r="C123" s="53">
        <v>0</v>
      </c>
      <c r="D123" s="53"/>
      <c r="E123" s="53"/>
      <c r="F123" s="53"/>
      <c r="G123" s="53">
        <f t="shared" si="13"/>
        <v>0</v>
      </c>
      <c r="H123" s="53"/>
      <c r="I123" s="69">
        <f t="shared" ref="I123:I131" si="21">G123+H123</f>
        <v>0</v>
      </c>
      <c r="J123" s="69"/>
      <c r="K123" s="53"/>
      <c r="L123" s="176"/>
      <c r="O123" s="190"/>
    </row>
    <row r="124" spans="1:16" x14ac:dyDescent="0.3">
      <c r="A124" s="52"/>
      <c r="B124" s="52" t="s">
        <v>174</v>
      </c>
      <c r="C124" s="53">
        <v>0</v>
      </c>
      <c r="D124" s="53"/>
      <c r="E124" s="53"/>
      <c r="F124" s="53"/>
      <c r="G124" s="53">
        <f t="shared" si="13"/>
        <v>0</v>
      </c>
      <c r="H124" s="53"/>
      <c r="I124" s="69">
        <f t="shared" si="21"/>
        <v>0</v>
      </c>
      <c r="J124" s="69"/>
      <c r="K124" s="53"/>
      <c r="L124" s="176"/>
      <c r="O124" s="190"/>
    </row>
    <row r="125" spans="1:16" x14ac:dyDescent="0.3">
      <c r="A125" s="52"/>
      <c r="B125" s="52" t="s">
        <v>180</v>
      </c>
      <c r="C125" s="53">
        <v>0</v>
      </c>
      <c r="D125" s="53"/>
      <c r="E125" s="53"/>
      <c r="F125" s="53"/>
      <c r="G125" s="53">
        <f t="shared" si="13"/>
        <v>0</v>
      </c>
      <c r="H125" s="53"/>
      <c r="I125" s="69">
        <f t="shared" si="21"/>
        <v>0</v>
      </c>
      <c r="J125" s="69"/>
      <c r="K125" s="53"/>
      <c r="L125" s="176"/>
      <c r="O125" s="190"/>
    </row>
    <row r="126" spans="1:16" x14ac:dyDescent="0.3">
      <c r="A126" s="52"/>
      <c r="B126" s="52" t="s">
        <v>57</v>
      </c>
      <c r="C126" s="53">
        <v>0</v>
      </c>
      <c r="D126" s="53"/>
      <c r="E126" s="53"/>
      <c r="F126" s="53"/>
      <c r="G126" s="53">
        <f t="shared" si="13"/>
        <v>0</v>
      </c>
      <c r="H126" s="53"/>
      <c r="I126" s="69">
        <f t="shared" si="21"/>
        <v>0</v>
      </c>
      <c r="J126" s="69"/>
      <c r="K126" s="53"/>
      <c r="L126" s="176"/>
      <c r="O126" s="190"/>
    </row>
    <row r="127" spans="1:16" x14ac:dyDescent="0.3">
      <c r="A127" s="52"/>
      <c r="B127" s="52" t="s">
        <v>166</v>
      </c>
      <c r="C127" s="53">
        <v>0</v>
      </c>
      <c r="D127" s="53"/>
      <c r="E127" s="53"/>
      <c r="F127" s="53"/>
      <c r="G127" s="53">
        <f t="shared" si="13"/>
        <v>0</v>
      </c>
      <c r="H127" s="53"/>
      <c r="I127" s="69">
        <f t="shared" si="21"/>
        <v>0</v>
      </c>
      <c r="J127" s="69"/>
      <c r="K127" s="53"/>
      <c r="L127" s="176"/>
      <c r="O127" s="190"/>
    </row>
    <row r="128" spans="1:16" x14ac:dyDescent="0.3">
      <c r="A128" s="52"/>
      <c r="B128" s="52" t="s">
        <v>171</v>
      </c>
      <c r="C128" s="53">
        <v>0</v>
      </c>
      <c r="D128" s="53"/>
      <c r="E128" s="53"/>
      <c r="F128" s="53"/>
      <c r="G128" s="53">
        <f t="shared" si="13"/>
        <v>0</v>
      </c>
      <c r="H128" s="53"/>
      <c r="I128" s="69">
        <f t="shared" si="21"/>
        <v>0</v>
      </c>
      <c r="J128" s="69"/>
      <c r="K128" s="53"/>
      <c r="L128" s="176"/>
      <c r="O128" s="190"/>
    </row>
    <row r="129" spans="1:16" x14ac:dyDescent="0.3">
      <c r="A129" s="52"/>
      <c r="B129" s="52" t="s">
        <v>190</v>
      </c>
      <c r="C129" s="53">
        <v>0</v>
      </c>
      <c r="D129" s="53"/>
      <c r="E129" s="53"/>
      <c r="F129" s="53"/>
      <c r="G129" s="53">
        <f t="shared" si="13"/>
        <v>0</v>
      </c>
      <c r="H129" s="53"/>
      <c r="I129" s="69">
        <f t="shared" si="21"/>
        <v>0</v>
      </c>
      <c r="J129" s="69"/>
      <c r="K129" s="53"/>
      <c r="L129" s="176"/>
      <c r="O129" s="190"/>
    </row>
    <row r="130" spans="1:16" x14ac:dyDescent="0.3">
      <c r="A130" s="52"/>
      <c r="B130" s="52" t="s">
        <v>55</v>
      </c>
      <c r="C130" s="53">
        <v>0</v>
      </c>
      <c r="D130" s="53"/>
      <c r="E130" s="53"/>
      <c r="F130" s="53"/>
      <c r="G130" s="53">
        <f t="shared" si="13"/>
        <v>0</v>
      </c>
      <c r="H130" s="53"/>
      <c r="I130" s="69">
        <f t="shared" si="21"/>
        <v>0</v>
      </c>
      <c r="J130" s="69"/>
      <c r="K130" s="53"/>
      <c r="L130" s="176"/>
      <c r="O130" s="190"/>
    </row>
    <row r="131" spans="1:16" ht="13.5" thickBot="1" x14ac:dyDescent="0.35">
      <c r="A131" s="52"/>
      <c r="B131" s="52" t="s">
        <v>177</v>
      </c>
      <c r="C131" s="53">
        <v>0</v>
      </c>
      <c r="D131" s="53"/>
      <c r="E131" s="53"/>
      <c r="F131" s="53"/>
      <c r="G131" s="53">
        <f t="shared" si="13"/>
        <v>0</v>
      </c>
      <c r="H131" s="53"/>
      <c r="I131" s="69">
        <f t="shared" si="21"/>
        <v>0</v>
      </c>
      <c r="J131" s="69"/>
      <c r="K131" s="53"/>
      <c r="L131" s="176"/>
      <c r="O131" s="190"/>
    </row>
    <row r="132" spans="1:16" ht="13.5" thickBot="1" x14ac:dyDescent="0.35">
      <c r="A132" s="57" t="s">
        <v>257</v>
      </c>
      <c r="B132" s="57"/>
      <c r="C132" s="95">
        <f>SUM(C123:C131)</f>
        <v>0</v>
      </c>
      <c r="D132" s="95"/>
      <c r="E132" s="95"/>
      <c r="F132" s="95">
        <f t="shared" ref="F132:L132" si="22">SUM(F123:F131)</f>
        <v>0</v>
      </c>
      <c r="G132" s="95">
        <f t="shared" si="22"/>
        <v>0</v>
      </c>
      <c r="H132" s="95">
        <f t="shared" si="22"/>
        <v>0</v>
      </c>
      <c r="I132" s="95">
        <f t="shared" si="22"/>
        <v>0</v>
      </c>
      <c r="J132" s="95">
        <f t="shared" si="22"/>
        <v>0</v>
      </c>
      <c r="K132" s="95">
        <f t="shared" si="22"/>
        <v>0</v>
      </c>
      <c r="L132" s="95">
        <f t="shared" si="22"/>
        <v>0</v>
      </c>
      <c r="O132" s="190"/>
    </row>
    <row r="133" spans="1:16" ht="14" thickTop="1" thickBot="1" x14ac:dyDescent="0.35">
      <c r="A133" s="96"/>
      <c r="B133" s="96"/>
      <c r="C133" s="97"/>
      <c r="D133" s="79"/>
      <c r="E133" s="79"/>
      <c r="F133" s="79"/>
      <c r="G133" s="53">
        <f t="shared" si="13"/>
        <v>0</v>
      </c>
      <c r="H133" s="62"/>
      <c r="I133" s="62"/>
      <c r="J133" s="62"/>
      <c r="K133" s="62"/>
      <c r="L133" s="184"/>
    </row>
    <row r="134" spans="1:16" s="77" customFormat="1" ht="13.5" thickBot="1" x14ac:dyDescent="0.35">
      <c r="A134" s="57" t="s">
        <v>679</v>
      </c>
      <c r="B134" s="57"/>
      <c r="C134" s="59">
        <f>C132+C120</f>
        <v>3650000</v>
      </c>
      <c r="D134" s="59">
        <f t="shared" ref="D134:L134" si="23">D132+D120</f>
        <v>0</v>
      </c>
      <c r="E134" s="59">
        <f t="shared" si="23"/>
        <v>3650000</v>
      </c>
      <c r="F134" s="59">
        <f t="shared" si="23"/>
        <v>0</v>
      </c>
      <c r="G134" s="59">
        <f t="shared" si="23"/>
        <v>3650000</v>
      </c>
      <c r="H134" s="59">
        <f t="shared" si="23"/>
        <v>2424303.5628657499</v>
      </c>
      <c r="I134" s="59">
        <f t="shared" si="23"/>
        <v>6074303.562865749</v>
      </c>
      <c r="J134" s="59">
        <f t="shared" si="23"/>
        <v>2923889.08</v>
      </c>
      <c r="K134" s="59">
        <f t="shared" si="23"/>
        <v>3046692.42136</v>
      </c>
      <c r="L134" s="59">
        <f t="shared" si="23"/>
        <v>3180746.8878998403</v>
      </c>
      <c r="M134" s="180"/>
      <c r="N134" s="193"/>
      <c r="O134" s="193"/>
      <c r="P134" s="193"/>
    </row>
    <row r="135" spans="1:16" ht="14" thickTop="1" thickBot="1" x14ac:dyDescent="0.35">
      <c r="A135" s="73"/>
      <c r="B135" s="73"/>
      <c r="C135" s="79"/>
      <c r="D135" s="79"/>
      <c r="E135" s="79"/>
      <c r="F135" s="79"/>
      <c r="G135" s="53">
        <f t="shared" si="13"/>
        <v>0</v>
      </c>
      <c r="H135" s="79"/>
      <c r="I135" s="79"/>
      <c r="J135" s="79"/>
      <c r="K135" s="79"/>
      <c r="L135" s="179"/>
    </row>
    <row r="136" spans="1:16" ht="13.5" thickBot="1" x14ac:dyDescent="0.35">
      <c r="A136" s="57" t="s">
        <v>680</v>
      </c>
      <c r="B136" s="57"/>
      <c r="C136" s="59">
        <f t="shared" ref="C136:L136" si="24">C134+C89</f>
        <v>16019471.884063713</v>
      </c>
      <c r="D136" s="59">
        <f t="shared" si="24"/>
        <v>0</v>
      </c>
      <c r="E136" s="59">
        <f t="shared" si="24"/>
        <v>16019471.884063713</v>
      </c>
      <c r="F136" s="59">
        <f t="shared" si="24"/>
        <v>3000000</v>
      </c>
      <c r="G136" s="59">
        <f t="shared" si="24"/>
        <v>19019471.884063713</v>
      </c>
      <c r="H136" s="59">
        <f t="shared" si="24"/>
        <v>451807.96743754949</v>
      </c>
      <c r="I136" s="59">
        <f t="shared" si="24"/>
        <v>19471279.85150126</v>
      </c>
      <c r="J136" s="59">
        <f>J134+J89</f>
        <v>13780418.73051939</v>
      </c>
      <c r="K136" s="59">
        <f t="shared" si="24"/>
        <v>14359196.317201205</v>
      </c>
      <c r="L136" s="59">
        <f t="shared" si="24"/>
        <v>14991000.95515806</v>
      </c>
      <c r="M136" s="180"/>
      <c r="N136" s="193"/>
      <c r="O136" s="193"/>
    </row>
    <row r="137" spans="1:16" ht="13.5" thickTop="1" x14ac:dyDescent="0.3"/>
    <row r="139" spans="1:16" x14ac:dyDescent="0.3">
      <c r="J139" s="64">
        <v>12550418</v>
      </c>
    </row>
    <row r="140" spans="1:16" x14ac:dyDescent="0.3">
      <c r="J140" s="64">
        <f>J139-J136</f>
        <v>-1230000.7305193897</v>
      </c>
    </row>
  </sheetData>
  <sortState xmlns:xlrd2="http://schemas.microsoft.com/office/spreadsheetml/2017/richdata2" ref="A6:Q48">
    <sortCondition ref="B6:B48"/>
  </sortState>
  <mergeCells count="1">
    <mergeCell ref="A2:L2"/>
  </mergeCells>
  <printOptions gridLines="1"/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Q123"/>
  <sheetViews>
    <sheetView view="pageBreakPreview" zoomScale="80" zoomScaleNormal="80" zoomScaleSheetLayoutView="80" workbookViewId="0">
      <pane xSplit="2" ySplit="3" topLeftCell="E4" activePane="bottomRight" state="frozen"/>
      <selection activeCell="E140" sqref="E140"/>
      <selection pane="topRight" activeCell="E140" sqref="E140"/>
      <selection pane="bottomLeft" activeCell="E140" sqref="E140"/>
      <selection pane="bottomRight" activeCell="E140" sqref="E140"/>
    </sheetView>
  </sheetViews>
  <sheetFormatPr defaultColWidth="9.1796875" defaultRowHeight="13" x14ac:dyDescent="0.3"/>
  <cols>
    <col min="1" max="1" width="37.54296875" style="63" customWidth="1"/>
    <col min="2" max="2" width="53.81640625" style="63" customWidth="1"/>
    <col min="3" max="4" width="14.7265625" style="64" hidden="1" customWidth="1"/>
    <col min="5" max="5" width="14.7265625" style="64" customWidth="1"/>
    <col min="6" max="6" width="14.7265625" style="64" hidden="1" customWidth="1"/>
    <col min="7" max="7" width="14.7265625" style="64" customWidth="1"/>
    <col min="8" max="8" width="14.7265625" style="64" hidden="1" customWidth="1"/>
    <col min="9" max="10" width="14.7265625" style="64" customWidth="1"/>
    <col min="11" max="12" width="15.26953125" style="64" bestFit="1" customWidth="1"/>
    <col min="13" max="13" width="17" style="179" customWidth="1"/>
    <col min="14" max="14" width="17" style="190" customWidth="1"/>
    <col min="15" max="15" width="14.54296875" style="194" customWidth="1"/>
    <col min="16" max="16" width="12.453125" style="194" bestFit="1" customWidth="1"/>
    <col min="17" max="17" width="11.26953125" style="63" bestFit="1" customWidth="1"/>
    <col min="18" max="16384" width="9.1796875" style="63"/>
  </cols>
  <sheetData>
    <row r="1" spans="1:17" ht="13.5" thickBot="1" x14ac:dyDescent="0.35">
      <c r="B1" s="231">
        <f>'2021 2022 DRAFT BUDGET SUMMARY'!J24</f>
        <v>-79111.445678055286</v>
      </c>
      <c r="C1" s="64">
        <f>'2021 2022 DRAFT BUDGET SUMMARY'!J24</f>
        <v>-79111.445678055286</v>
      </c>
      <c r="I1" s="76"/>
      <c r="J1" s="76"/>
    </row>
    <row r="2" spans="1:17" ht="13.5" thickBot="1" x14ac:dyDescent="0.35">
      <c r="A2" s="235" t="s">
        <v>1354</v>
      </c>
      <c r="B2" s="236"/>
      <c r="C2" s="236"/>
      <c r="D2" s="236"/>
      <c r="E2" s="236"/>
      <c r="F2" s="236"/>
      <c r="G2" s="236"/>
      <c r="H2" s="236"/>
      <c r="I2" s="236"/>
      <c r="J2" s="236"/>
      <c r="K2" s="236"/>
      <c r="L2" s="237"/>
    </row>
    <row r="3" spans="1:17" ht="39.5" thickBot="1" x14ac:dyDescent="0.35">
      <c r="A3" s="75" t="s">
        <v>0</v>
      </c>
      <c r="B3" s="75" t="s">
        <v>1</v>
      </c>
      <c r="C3" s="162" t="s">
        <v>669</v>
      </c>
      <c r="D3" s="162" t="s">
        <v>1219</v>
      </c>
      <c r="E3" s="162" t="s">
        <v>1220</v>
      </c>
      <c r="F3" s="162" t="s">
        <v>1284</v>
      </c>
      <c r="G3" s="161" t="s">
        <v>1322</v>
      </c>
      <c r="H3" s="161" t="s">
        <v>1284</v>
      </c>
      <c r="I3" s="161" t="s">
        <v>1323</v>
      </c>
      <c r="J3" s="161" t="s">
        <v>1356</v>
      </c>
      <c r="K3" s="161" t="s">
        <v>670</v>
      </c>
      <c r="L3" s="175" t="s">
        <v>671</v>
      </c>
      <c r="M3" s="191"/>
      <c r="N3" s="192"/>
      <c r="O3" s="192"/>
    </row>
    <row r="4" spans="1:17" x14ac:dyDescent="0.3">
      <c r="A4" s="60"/>
      <c r="B4" s="60"/>
      <c r="C4" s="66"/>
      <c r="D4" s="66"/>
      <c r="E4" s="66"/>
      <c r="F4" s="66"/>
      <c r="G4" s="66"/>
      <c r="H4" s="66"/>
      <c r="I4" s="66"/>
      <c r="J4" s="66"/>
      <c r="K4" s="66"/>
      <c r="L4" s="206"/>
    </row>
    <row r="5" spans="1:17" x14ac:dyDescent="0.3">
      <c r="A5" s="60" t="s">
        <v>698</v>
      </c>
      <c r="B5" s="60"/>
      <c r="C5" s="66"/>
      <c r="D5" s="66"/>
      <c r="E5" s="66"/>
      <c r="F5" s="66"/>
      <c r="G5" s="66"/>
      <c r="H5" s="66"/>
      <c r="I5" s="66"/>
      <c r="J5" s="66"/>
      <c r="K5" s="66"/>
      <c r="L5" s="206"/>
    </row>
    <row r="6" spans="1:17" x14ac:dyDescent="0.3">
      <c r="A6" s="50" t="s">
        <v>73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89"/>
    </row>
    <row r="7" spans="1:17" x14ac:dyDescent="0.3">
      <c r="A7" s="51" t="s">
        <v>72</v>
      </c>
      <c r="B7" s="52"/>
      <c r="C7" s="53"/>
      <c r="D7" s="53"/>
      <c r="E7" s="53"/>
      <c r="F7" s="53"/>
      <c r="G7" s="53"/>
      <c r="H7" s="53"/>
      <c r="I7" s="53"/>
      <c r="J7" s="53"/>
      <c r="K7" s="53"/>
      <c r="L7" s="176"/>
    </row>
    <row r="8" spans="1:17" ht="13.5" thickBot="1" x14ac:dyDescent="0.35">
      <c r="A8" s="52" t="s">
        <v>452</v>
      </c>
      <c r="B8" s="52" t="s">
        <v>361</v>
      </c>
      <c r="C8" s="53">
        <v>-1760000</v>
      </c>
      <c r="D8" s="53"/>
      <c r="E8" s="53">
        <f>C8+D8</f>
        <v>-1760000</v>
      </c>
      <c r="F8" s="53"/>
      <c r="G8" s="53">
        <f t="shared" ref="G8" si="0">E8+F8</f>
        <v>-1760000</v>
      </c>
      <c r="H8" s="53"/>
      <c r="I8" s="69">
        <f>G8+H8</f>
        <v>-1760000</v>
      </c>
      <c r="J8" s="69">
        <v>-2412000</v>
      </c>
      <c r="K8" s="53"/>
      <c r="L8" s="176"/>
      <c r="O8" s="190"/>
    </row>
    <row r="9" spans="1:17" s="77" customFormat="1" ht="13.5" thickBot="1" x14ac:dyDescent="0.35">
      <c r="A9" s="57" t="s">
        <v>200</v>
      </c>
      <c r="B9" s="57"/>
      <c r="C9" s="59">
        <f>SUM(C8:C8)</f>
        <v>-1760000</v>
      </c>
      <c r="D9" s="59">
        <f t="shared" ref="D9:L9" si="1">SUM(D8:D8)</f>
        <v>0</v>
      </c>
      <c r="E9" s="59">
        <f t="shared" si="1"/>
        <v>-1760000</v>
      </c>
      <c r="F9" s="59">
        <f t="shared" si="1"/>
        <v>0</v>
      </c>
      <c r="G9" s="59">
        <f t="shared" si="1"/>
        <v>-1760000</v>
      </c>
      <c r="H9" s="59">
        <f t="shared" si="1"/>
        <v>0</v>
      </c>
      <c r="I9" s="59">
        <f t="shared" si="1"/>
        <v>-1760000</v>
      </c>
      <c r="J9" s="59">
        <f t="shared" si="1"/>
        <v>-2412000</v>
      </c>
      <c r="K9" s="59">
        <f t="shared" si="1"/>
        <v>0</v>
      </c>
      <c r="L9" s="59">
        <f t="shared" si="1"/>
        <v>0</v>
      </c>
      <c r="M9" s="180"/>
      <c r="N9" s="193"/>
      <c r="O9" s="193"/>
      <c r="P9" s="219"/>
    </row>
    <row r="10" spans="1:17" s="77" customFormat="1" ht="14" thickTop="1" thickBot="1" x14ac:dyDescent="0.35">
      <c r="A10" s="74"/>
      <c r="B10" s="74"/>
      <c r="C10" s="80"/>
      <c r="D10" s="80"/>
      <c r="E10" s="80"/>
      <c r="F10" s="80"/>
      <c r="G10" s="80"/>
      <c r="H10" s="80"/>
      <c r="I10" s="80"/>
      <c r="J10" s="80"/>
      <c r="K10" s="80"/>
      <c r="L10" s="180"/>
      <c r="M10" s="180"/>
      <c r="N10" s="193"/>
      <c r="O10" s="219"/>
      <c r="P10" s="219"/>
    </row>
    <row r="11" spans="1:17" s="77" customFormat="1" ht="13.5" thickBot="1" x14ac:dyDescent="0.35">
      <c r="A11" s="57" t="s">
        <v>79</v>
      </c>
      <c r="B11" s="57"/>
      <c r="C11" s="59">
        <f t="shared" ref="C11:L11" si="2">C9</f>
        <v>-1760000</v>
      </c>
      <c r="D11" s="59">
        <f t="shared" si="2"/>
        <v>0</v>
      </c>
      <c r="E11" s="59">
        <f t="shared" si="2"/>
        <v>-1760000</v>
      </c>
      <c r="F11" s="59">
        <f t="shared" si="2"/>
        <v>0</v>
      </c>
      <c r="G11" s="59">
        <f t="shared" si="2"/>
        <v>-1760000</v>
      </c>
      <c r="H11" s="59">
        <f t="shared" si="2"/>
        <v>0</v>
      </c>
      <c r="I11" s="59">
        <f t="shared" si="2"/>
        <v>-1760000</v>
      </c>
      <c r="J11" s="59">
        <f t="shared" si="2"/>
        <v>-2412000</v>
      </c>
      <c r="K11" s="59">
        <f t="shared" si="2"/>
        <v>0</v>
      </c>
      <c r="L11" s="59">
        <f t="shared" si="2"/>
        <v>0</v>
      </c>
      <c r="M11" s="180"/>
      <c r="N11" s="193"/>
      <c r="O11" s="193"/>
      <c r="P11" s="219"/>
    </row>
    <row r="12" spans="1:17" s="77" customFormat="1" ht="13.5" thickTop="1" x14ac:dyDescent="0.3">
      <c r="A12" s="60"/>
      <c r="B12" s="60"/>
      <c r="C12" s="78"/>
      <c r="D12" s="78"/>
      <c r="E12" s="78"/>
      <c r="F12" s="78"/>
      <c r="G12" s="53">
        <f t="shared" ref="G12:G77" si="3">E12+F12</f>
        <v>0</v>
      </c>
      <c r="H12" s="62"/>
      <c r="I12" s="62"/>
      <c r="J12" s="62"/>
      <c r="K12" s="78"/>
      <c r="L12" s="178"/>
      <c r="M12" s="180"/>
      <c r="N12" s="193"/>
      <c r="O12" s="219"/>
      <c r="P12" s="219"/>
    </row>
    <row r="13" spans="1:17" x14ac:dyDescent="0.3">
      <c r="A13" s="51" t="s">
        <v>458</v>
      </c>
      <c r="B13" s="52"/>
      <c r="C13" s="53">
        <v>0</v>
      </c>
      <c r="D13" s="53"/>
      <c r="E13" s="53"/>
      <c r="F13" s="53"/>
      <c r="G13" s="53">
        <f t="shared" si="3"/>
        <v>0</v>
      </c>
      <c r="H13" s="53"/>
      <c r="I13" s="53"/>
      <c r="J13" s="53"/>
      <c r="K13" s="53"/>
      <c r="L13" s="176"/>
    </row>
    <row r="14" spans="1:17" x14ac:dyDescent="0.3">
      <c r="A14" s="52"/>
      <c r="B14" s="51" t="s">
        <v>484</v>
      </c>
      <c r="C14" s="53"/>
      <c r="D14" s="53"/>
      <c r="E14" s="53"/>
      <c r="F14" s="53"/>
      <c r="G14" s="53">
        <f t="shared" si="3"/>
        <v>0</v>
      </c>
      <c r="H14" s="53"/>
      <c r="I14" s="53"/>
      <c r="J14" s="53"/>
      <c r="K14" s="53"/>
      <c r="L14" s="176"/>
      <c r="P14" s="220"/>
      <c r="Q14" s="93"/>
    </row>
    <row r="15" spans="1:17" x14ac:dyDescent="0.3">
      <c r="A15" s="52" t="s">
        <v>442</v>
      </c>
      <c r="B15" s="52" t="s">
        <v>426</v>
      </c>
      <c r="C15" s="53">
        <v>50000</v>
      </c>
      <c r="D15" s="53"/>
      <c r="E15" s="53">
        <f t="shared" ref="E15:E88" si="4">C15+D15</f>
        <v>50000</v>
      </c>
      <c r="F15" s="53"/>
      <c r="G15" s="53">
        <f t="shared" si="3"/>
        <v>50000</v>
      </c>
      <c r="H15" s="53">
        <v>-20000</v>
      </c>
      <c r="I15" s="69">
        <f t="shared" ref="I15:I31" si="5">G15+H15</f>
        <v>30000</v>
      </c>
      <c r="J15" s="69">
        <v>50000</v>
      </c>
      <c r="K15" s="53">
        <f t="shared" ref="K15:K45" si="6">J15*104.2%</f>
        <v>52100</v>
      </c>
      <c r="L15" s="176">
        <f t="shared" ref="L15:L45" si="7">K15*104.4%</f>
        <v>54392.4</v>
      </c>
      <c r="O15" s="190"/>
    </row>
    <row r="16" spans="1:17" x14ac:dyDescent="0.3">
      <c r="A16" s="52" t="s">
        <v>581</v>
      </c>
      <c r="B16" s="52" t="s">
        <v>580</v>
      </c>
      <c r="C16" s="53">
        <v>0</v>
      </c>
      <c r="D16" s="53"/>
      <c r="E16" s="53">
        <f t="shared" si="4"/>
        <v>0</v>
      </c>
      <c r="F16" s="53"/>
      <c r="G16" s="53">
        <f t="shared" si="3"/>
        <v>0</v>
      </c>
      <c r="H16" s="53"/>
      <c r="I16" s="69">
        <f t="shared" si="5"/>
        <v>0</v>
      </c>
      <c r="J16" s="69"/>
      <c r="K16" s="53">
        <f t="shared" si="6"/>
        <v>0</v>
      </c>
      <c r="L16" s="176">
        <f t="shared" si="7"/>
        <v>0</v>
      </c>
      <c r="O16" s="190"/>
    </row>
    <row r="17" spans="1:15" x14ac:dyDescent="0.3">
      <c r="A17" s="52" t="s">
        <v>1201</v>
      </c>
      <c r="B17" s="52" t="s">
        <v>1202</v>
      </c>
      <c r="C17" s="53">
        <v>150000</v>
      </c>
      <c r="D17" s="53"/>
      <c r="E17" s="53">
        <f t="shared" si="4"/>
        <v>150000</v>
      </c>
      <c r="F17" s="53"/>
      <c r="G17" s="53">
        <f t="shared" si="3"/>
        <v>150000</v>
      </c>
      <c r="H17" s="53">
        <v>39700</v>
      </c>
      <c r="I17" s="69">
        <f t="shared" si="5"/>
        <v>189700</v>
      </c>
      <c r="J17" s="69">
        <v>150000</v>
      </c>
      <c r="K17" s="53">
        <f t="shared" si="6"/>
        <v>156300</v>
      </c>
      <c r="L17" s="176">
        <f t="shared" si="7"/>
        <v>163177.20000000001</v>
      </c>
      <c r="O17" s="190"/>
    </row>
    <row r="18" spans="1:15" x14ac:dyDescent="0.3">
      <c r="A18" s="52"/>
      <c r="B18" s="51" t="s">
        <v>485</v>
      </c>
      <c r="C18" s="53">
        <v>0</v>
      </c>
      <c r="D18" s="53"/>
      <c r="E18" s="53">
        <f t="shared" si="4"/>
        <v>0</v>
      </c>
      <c r="F18" s="53"/>
      <c r="G18" s="53">
        <f t="shared" si="3"/>
        <v>0</v>
      </c>
      <c r="H18" s="53"/>
      <c r="I18" s="69">
        <f t="shared" si="5"/>
        <v>0</v>
      </c>
      <c r="J18" s="69"/>
      <c r="K18" s="53">
        <f t="shared" si="6"/>
        <v>0</v>
      </c>
      <c r="L18" s="176">
        <f t="shared" si="7"/>
        <v>0</v>
      </c>
      <c r="O18" s="190"/>
    </row>
    <row r="19" spans="1:15" x14ac:dyDescent="0.3">
      <c r="A19" s="56" t="s">
        <v>427</v>
      </c>
      <c r="B19" s="56" t="s">
        <v>1175</v>
      </c>
      <c r="C19" s="53">
        <v>200000</v>
      </c>
      <c r="D19" s="53"/>
      <c r="E19" s="53">
        <f t="shared" si="4"/>
        <v>200000</v>
      </c>
      <c r="F19" s="53"/>
      <c r="G19" s="53">
        <f t="shared" si="3"/>
        <v>200000</v>
      </c>
      <c r="H19" s="53">
        <v>-200000</v>
      </c>
      <c r="I19" s="69">
        <f t="shared" si="5"/>
        <v>0</v>
      </c>
      <c r="J19" s="69">
        <v>200000</v>
      </c>
      <c r="K19" s="53">
        <f t="shared" si="6"/>
        <v>208400</v>
      </c>
      <c r="L19" s="176">
        <f t="shared" si="7"/>
        <v>217569.6</v>
      </c>
      <c r="O19" s="190"/>
    </row>
    <row r="20" spans="1:15" x14ac:dyDescent="0.3">
      <c r="A20" s="52" t="s">
        <v>363</v>
      </c>
      <c r="B20" s="52" t="s">
        <v>1170</v>
      </c>
      <c r="C20" s="53">
        <v>900000</v>
      </c>
      <c r="D20" s="53">
        <v>-300000</v>
      </c>
      <c r="E20" s="53">
        <f t="shared" si="4"/>
        <v>600000</v>
      </c>
      <c r="F20" s="53"/>
      <c r="G20" s="53">
        <f t="shared" si="3"/>
        <v>600000</v>
      </c>
      <c r="H20" s="53">
        <f>400000+100000+43685.86</f>
        <v>543685.86</v>
      </c>
      <c r="I20" s="69">
        <f t="shared" si="5"/>
        <v>1143685.8599999999</v>
      </c>
      <c r="J20" s="69">
        <v>500000</v>
      </c>
      <c r="K20" s="53">
        <f t="shared" si="6"/>
        <v>521000</v>
      </c>
      <c r="L20" s="176">
        <f t="shared" si="7"/>
        <v>543924</v>
      </c>
      <c r="O20" s="190"/>
    </row>
    <row r="21" spans="1:15" x14ac:dyDescent="0.3">
      <c r="A21" s="52" t="s">
        <v>1172</v>
      </c>
      <c r="B21" s="52" t="s">
        <v>1182</v>
      </c>
      <c r="C21" s="53">
        <v>400000</v>
      </c>
      <c r="D21" s="53"/>
      <c r="E21" s="53">
        <f t="shared" si="4"/>
        <v>400000</v>
      </c>
      <c r="F21" s="53"/>
      <c r="G21" s="53">
        <f t="shared" si="3"/>
        <v>400000</v>
      </c>
      <c r="H21" s="53">
        <v>-180000</v>
      </c>
      <c r="I21" s="69">
        <f t="shared" si="5"/>
        <v>220000</v>
      </c>
      <c r="J21" s="69"/>
      <c r="K21" s="53">
        <f t="shared" si="6"/>
        <v>0</v>
      </c>
      <c r="L21" s="176">
        <f t="shared" si="7"/>
        <v>0</v>
      </c>
      <c r="O21" s="190"/>
    </row>
    <row r="22" spans="1:15" x14ac:dyDescent="0.3">
      <c r="A22" s="52" t="s">
        <v>1176</v>
      </c>
      <c r="B22" s="52" t="s">
        <v>1177</v>
      </c>
      <c r="C22" s="53">
        <v>750000</v>
      </c>
      <c r="D22" s="53">
        <v>320000</v>
      </c>
      <c r="E22" s="53">
        <f t="shared" si="4"/>
        <v>1070000</v>
      </c>
      <c r="F22" s="53"/>
      <c r="G22" s="53">
        <f t="shared" si="3"/>
        <v>1070000</v>
      </c>
      <c r="H22" s="53">
        <v>-604815</v>
      </c>
      <c r="I22" s="69">
        <f t="shared" si="5"/>
        <v>465185</v>
      </c>
      <c r="J22" s="69">
        <v>300000</v>
      </c>
      <c r="K22" s="53">
        <f t="shared" si="6"/>
        <v>312600</v>
      </c>
      <c r="L22" s="176">
        <f t="shared" si="7"/>
        <v>326354.40000000002</v>
      </c>
      <c r="O22" s="190"/>
    </row>
    <row r="23" spans="1:15" x14ac:dyDescent="0.3">
      <c r="A23" s="52" t="s">
        <v>1183</v>
      </c>
      <c r="B23" s="52" t="s">
        <v>1178</v>
      </c>
      <c r="C23" s="53">
        <v>300000</v>
      </c>
      <c r="D23" s="53">
        <v>-100000</v>
      </c>
      <c r="E23" s="53">
        <f t="shared" si="4"/>
        <v>200000</v>
      </c>
      <c r="F23" s="53"/>
      <c r="G23" s="53">
        <f t="shared" si="3"/>
        <v>200000</v>
      </c>
      <c r="H23" s="53">
        <v>-200000</v>
      </c>
      <c r="I23" s="69">
        <f t="shared" si="5"/>
        <v>0</v>
      </c>
      <c r="J23" s="69"/>
      <c r="K23" s="53">
        <f t="shared" si="6"/>
        <v>0</v>
      </c>
      <c r="L23" s="176">
        <f t="shared" si="7"/>
        <v>0</v>
      </c>
      <c r="O23" s="190"/>
    </row>
    <row r="24" spans="1:15" x14ac:dyDescent="0.3">
      <c r="A24" s="52" t="s">
        <v>1184</v>
      </c>
      <c r="B24" s="52" t="s">
        <v>1179</v>
      </c>
      <c r="C24" s="53">
        <v>300000</v>
      </c>
      <c r="D24" s="53">
        <v>-100000</v>
      </c>
      <c r="E24" s="53">
        <f t="shared" si="4"/>
        <v>200000</v>
      </c>
      <c r="F24" s="53"/>
      <c r="G24" s="53">
        <f t="shared" si="3"/>
        <v>200000</v>
      </c>
      <c r="H24" s="53">
        <v>-200000</v>
      </c>
      <c r="I24" s="69">
        <f t="shared" si="5"/>
        <v>0</v>
      </c>
      <c r="J24" s="69"/>
      <c r="K24" s="53">
        <f t="shared" si="6"/>
        <v>0</v>
      </c>
      <c r="L24" s="176">
        <f t="shared" si="7"/>
        <v>0</v>
      </c>
      <c r="O24" s="190"/>
    </row>
    <row r="25" spans="1:15" x14ac:dyDescent="0.3">
      <c r="A25" s="52" t="s">
        <v>1185</v>
      </c>
      <c r="B25" s="52" t="s">
        <v>1180</v>
      </c>
      <c r="C25" s="53">
        <v>300000</v>
      </c>
      <c r="D25" s="53">
        <v>-100000</v>
      </c>
      <c r="E25" s="53">
        <f t="shared" si="4"/>
        <v>200000</v>
      </c>
      <c r="F25" s="53"/>
      <c r="G25" s="53">
        <f t="shared" si="3"/>
        <v>200000</v>
      </c>
      <c r="H25" s="53">
        <v>-200000</v>
      </c>
      <c r="I25" s="69">
        <f t="shared" si="5"/>
        <v>0</v>
      </c>
      <c r="J25" s="69"/>
      <c r="K25" s="53">
        <f t="shared" si="6"/>
        <v>0</v>
      </c>
      <c r="L25" s="176">
        <f t="shared" si="7"/>
        <v>0</v>
      </c>
      <c r="O25" s="190"/>
    </row>
    <row r="26" spans="1:15" x14ac:dyDescent="0.3">
      <c r="A26" s="52" t="s">
        <v>1186</v>
      </c>
      <c r="B26" s="52" t="s">
        <v>1181</v>
      </c>
      <c r="C26" s="53">
        <v>300000</v>
      </c>
      <c r="D26" s="53">
        <v>-90000</v>
      </c>
      <c r="E26" s="53">
        <f t="shared" si="4"/>
        <v>210000</v>
      </c>
      <c r="F26" s="53"/>
      <c r="G26" s="53">
        <f t="shared" si="3"/>
        <v>210000</v>
      </c>
      <c r="H26" s="53">
        <v>-210000</v>
      </c>
      <c r="I26" s="69">
        <f t="shared" si="5"/>
        <v>0</v>
      </c>
      <c r="J26" s="69"/>
      <c r="K26" s="53">
        <f t="shared" si="6"/>
        <v>0</v>
      </c>
      <c r="L26" s="176">
        <f t="shared" si="7"/>
        <v>0</v>
      </c>
      <c r="O26" s="190"/>
    </row>
    <row r="27" spans="1:15" x14ac:dyDescent="0.3">
      <c r="A27" s="52" t="s">
        <v>1235</v>
      </c>
      <c r="B27" s="52" t="s">
        <v>1221</v>
      </c>
      <c r="C27" s="53"/>
      <c r="D27" s="53">
        <v>41000</v>
      </c>
      <c r="E27" s="53">
        <f t="shared" si="4"/>
        <v>41000</v>
      </c>
      <c r="F27" s="53"/>
      <c r="G27" s="53">
        <f t="shared" si="3"/>
        <v>41000</v>
      </c>
      <c r="H27" s="53">
        <v>-41000</v>
      </c>
      <c r="I27" s="69">
        <f t="shared" si="5"/>
        <v>0</v>
      </c>
      <c r="J27" s="69"/>
      <c r="K27" s="53">
        <f t="shared" si="6"/>
        <v>0</v>
      </c>
      <c r="L27" s="176">
        <f t="shared" si="7"/>
        <v>0</v>
      </c>
      <c r="O27" s="190"/>
    </row>
    <row r="28" spans="1:15" x14ac:dyDescent="0.3">
      <c r="A28" s="52" t="s">
        <v>453</v>
      </c>
      <c r="B28" s="52" t="s">
        <v>364</v>
      </c>
      <c r="C28" s="53">
        <v>850000</v>
      </c>
      <c r="D28" s="53"/>
      <c r="E28" s="53">
        <f t="shared" si="4"/>
        <v>850000</v>
      </c>
      <c r="F28" s="53"/>
      <c r="G28" s="53">
        <f t="shared" si="3"/>
        <v>850000</v>
      </c>
      <c r="H28" s="53"/>
      <c r="I28" s="69">
        <f t="shared" si="5"/>
        <v>850000</v>
      </c>
      <c r="J28" s="69">
        <v>750000</v>
      </c>
      <c r="K28" s="53">
        <f t="shared" si="6"/>
        <v>781500</v>
      </c>
      <c r="L28" s="176">
        <f t="shared" si="7"/>
        <v>815886</v>
      </c>
      <c r="O28" s="190"/>
    </row>
    <row r="29" spans="1:15" x14ac:dyDescent="0.3">
      <c r="A29" s="52" t="s">
        <v>559</v>
      </c>
      <c r="B29" s="52" t="s">
        <v>1173</v>
      </c>
      <c r="C29" s="53">
        <v>1400000</v>
      </c>
      <c r="D29" s="53"/>
      <c r="E29" s="53">
        <f t="shared" si="4"/>
        <v>1400000</v>
      </c>
      <c r="F29" s="53"/>
      <c r="G29" s="53">
        <f t="shared" si="3"/>
        <v>1400000</v>
      </c>
      <c r="H29" s="53">
        <f>2508325.62-239861.65-519150.14</f>
        <v>1749313.83</v>
      </c>
      <c r="I29" s="69">
        <f t="shared" si="5"/>
        <v>3149313.83</v>
      </c>
      <c r="J29" s="69">
        <v>1500000</v>
      </c>
      <c r="K29" s="53">
        <f t="shared" si="6"/>
        <v>1563000</v>
      </c>
      <c r="L29" s="176">
        <f t="shared" si="7"/>
        <v>1631772</v>
      </c>
      <c r="O29" s="190"/>
    </row>
    <row r="30" spans="1:15" x14ac:dyDescent="0.3">
      <c r="A30" s="52" t="s">
        <v>457</v>
      </c>
      <c r="B30" s="52" t="s">
        <v>1174</v>
      </c>
      <c r="C30" s="53">
        <v>700000</v>
      </c>
      <c r="D30" s="53"/>
      <c r="E30" s="53">
        <f t="shared" si="4"/>
        <v>700000</v>
      </c>
      <c r="F30" s="53"/>
      <c r="G30" s="53">
        <f t="shared" si="3"/>
        <v>700000</v>
      </c>
      <c r="H30" s="53">
        <v>-154498.82999999999</v>
      </c>
      <c r="I30" s="69">
        <f t="shared" si="5"/>
        <v>545501.17000000004</v>
      </c>
      <c r="J30" s="69">
        <v>400000</v>
      </c>
      <c r="K30" s="53">
        <f t="shared" si="6"/>
        <v>416800</v>
      </c>
      <c r="L30" s="176">
        <f t="shared" si="7"/>
        <v>435139.2</v>
      </c>
      <c r="O30" s="190"/>
    </row>
    <row r="31" spans="1:15" x14ac:dyDescent="0.3">
      <c r="A31" s="52" t="s">
        <v>1527</v>
      </c>
      <c r="B31" s="52" t="s">
        <v>1309</v>
      </c>
      <c r="C31" s="53"/>
      <c r="D31" s="53"/>
      <c r="E31" s="53"/>
      <c r="F31" s="53">
        <v>14000000</v>
      </c>
      <c r="G31" s="53">
        <f t="shared" si="3"/>
        <v>14000000</v>
      </c>
      <c r="H31" s="53"/>
      <c r="I31" s="69">
        <f t="shared" si="5"/>
        <v>14000000</v>
      </c>
      <c r="J31" s="69"/>
      <c r="K31" s="53">
        <f t="shared" si="6"/>
        <v>0</v>
      </c>
      <c r="L31" s="176">
        <f t="shared" si="7"/>
        <v>0</v>
      </c>
      <c r="O31" s="190"/>
    </row>
    <row r="32" spans="1:15" x14ac:dyDescent="0.3">
      <c r="A32" s="52"/>
      <c r="B32" s="52"/>
      <c r="C32" s="53"/>
      <c r="D32" s="53"/>
      <c r="E32" s="53"/>
      <c r="F32" s="53"/>
      <c r="G32" s="53"/>
      <c r="H32" s="53"/>
      <c r="I32" s="69"/>
      <c r="J32" s="69"/>
      <c r="K32" s="53">
        <f t="shared" si="6"/>
        <v>0</v>
      </c>
      <c r="L32" s="176">
        <f t="shared" si="7"/>
        <v>0</v>
      </c>
      <c r="O32" s="190"/>
    </row>
    <row r="33" spans="1:16" x14ac:dyDescent="0.3">
      <c r="A33" s="52" t="s">
        <v>366</v>
      </c>
      <c r="B33" s="52" t="s">
        <v>223</v>
      </c>
      <c r="C33" s="53">
        <v>25000</v>
      </c>
      <c r="D33" s="53"/>
      <c r="E33" s="53">
        <f t="shared" si="4"/>
        <v>25000</v>
      </c>
      <c r="F33" s="53"/>
      <c r="G33" s="53">
        <f t="shared" si="3"/>
        <v>25000</v>
      </c>
      <c r="H33" s="53"/>
      <c r="I33" s="69">
        <f t="shared" ref="I33:I45" si="8">G33+H33</f>
        <v>25000</v>
      </c>
      <c r="J33" s="69">
        <v>25000</v>
      </c>
      <c r="K33" s="53">
        <f t="shared" si="6"/>
        <v>26050</v>
      </c>
      <c r="L33" s="176">
        <f t="shared" si="7"/>
        <v>27196.2</v>
      </c>
      <c r="O33" s="190"/>
    </row>
    <row r="34" spans="1:16" x14ac:dyDescent="0.3">
      <c r="A34" s="52" t="s">
        <v>1467</v>
      </c>
      <c r="B34" s="52" t="s">
        <v>1444</v>
      </c>
      <c r="C34" s="53">
        <v>0</v>
      </c>
      <c r="D34" s="53"/>
      <c r="E34" s="53">
        <f t="shared" si="4"/>
        <v>0</v>
      </c>
      <c r="F34" s="53"/>
      <c r="G34" s="53">
        <f t="shared" si="3"/>
        <v>0</v>
      </c>
      <c r="H34" s="53"/>
      <c r="I34" s="69">
        <f t="shared" si="8"/>
        <v>0</v>
      </c>
      <c r="J34" s="69">
        <v>200000</v>
      </c>
      <c r="K34" s="53">
        <f t="shared" si="6"/>
        <v>208400</v>
      </c>
      <c r="L34" s="176">
        <f t="shared" si="7"/>
        <v>217569.6</v>
      </c>
      <c r="O34" s="190"/>
    </row>
    <row r="35" spans="1:16" x14ac:dyDescent="0.3">
      <c r="A35" s="52"/>
      <c r="B35" s="51" t="s">
        <v>478</v>
      </c>
      <c r="C35" s="53">
        <v>0</v>
      </c>
      <c r="D35" s="53"/>
      <c r="E35" s="53">
        <f t="shared" si="4"/>
        <v>0</v>
      </c>
      <c r="F35" s="53"/>
      <c r="G35" s="53">
        <f t="shared" si="3"/>
        <v>0</v>
      </c>
      <c r="H35" s="53"/>
      <c r="I35" s="69">
        <f t="shared" si="8"/>
        <v>0</v>
      </c>
      <c r="J35" s="69"/>
      <c r="K35" s="53">
        <f t="shared" si="6"/>
        <v>0</v>
      </c>
      <c r="L35" s="176">
        <f t="shared" si="7"/>
        <v>0</v>
      </c>
      <c r="O35" s="190"/>
    </row>
    <row r="36" spans="1:16" x14ac:dyDescent="0.3">
      <c r="A36" s="52" t="s">
        <v>365</v>
      </c>
      <c r="B36" s="52" t="s">
        <v>44</v>
      </c>
      <c r="C36" s="53">
        <v>15000</v>
      </c>
      <c r="D36" s="53"/>
      <c r="E36" s="53">
        <f t="shared" si="4"/>
        <v>15000</v>
      </c>
      <c r="F36" s="53"/>
      <c r="G36" s="53">
        <f t="shared" si="3"/>
        <v>15000</v>
      </c>
      <c r="H36" s="53"/>
      <c r="I36" s="69">
        <f t="shared" si="8"/>
        <v>15000</v>
      </c>
      <c r="J36" s="69">
        <v>15000</v>
      </c>
      <c r="K36" s="53">
        <f t="shared" si="6"/>
        <v>15630</v>
      </c>
      <c r="L36" s="176">
        <f t="shared" si="7"/>
        <v>16317.720000000001</v>
      </c>
      <c r="O36" s="190"/>
    </row>
    <row r="37" spans="1:16" x14ac:dyDescent="0.3">
      <c r="A37" s="52" t="s">
        <v>368</v>
      </c>
      <c r="B37" s="52" t="s">
        <v>369</v>
      </c>
      <c r="C37" s="53">
        <v>15000</v>
      </c>
      <c r="D37" s="53"/>
      <c r="E37" s="53">
        <f t="shared" si="4"/>
        <v>15000</v>
      </c>
      <c r="F37" s="53"/>
      <c r="G37" s="53">
        <f t="shared" si="3"/>
        <v>15000</v>
      </c>
      <c r="H37" s="53"/>
      <c r="I37" s="69">
        <f t="shared" si="8"/>
        <v>15000</v>
      </c>
      <c r="J37" s="69">
        <v>15000</v>
      </c>
      <c r="K37" s="53">
        <f t="shared" si="6"/>
        <v>15630</v>
      </c>
      <c r="L37" s="176">
        <f t="shared" si="7"/>
        <v>16317.720000000001</v>
      </c>
      <c r="O37" s="190"/>
    </row>
    <row r="38" spans="1:16" x14ac:dyDescent="0.3">
      <c r="A38" s="52" t="s">
        <v>553</v>
      </c>
      <c r="B38" s="52" t="s">
        <v>525</v>
      </c>
      <c r="C38" s="53">
        <v>10000</v>
      </c>
      <c r="D38" s="53"/>
      <c r="E38" s="53">
        <f t="shared" si="4"/>
        <v>10000</v>
      </c>
      <c r="F38" s="53"/>
      <c r="G38" s="53">
        <f t="shared" si="3"/>
        <v>10000</v>
      </c>
      <c r="H38" s="53"/>
      <c r="I38" s="69">
        <f t="shared" si="8"/>
        <v>10000</v>
      </c>
      <c r="J38" s="69">
        <v>10000</v>
      </c>
      <c r="K38" s="53">
        <f t="shared" si="6"/>
        <v>10420</v>
      </c>
      <c r="L38" s="176">
        <f t="shared" si="7"/>
        <v>10878.48</v>
      </c>
      <c r="O38" s="190"/>
    </row>
    <row r="39" spans="1:16" x14ac:dyDescent="0.3">
      <c r="A39" s="52" t="s">
        <v>1334</v>
      </c>
      <c r="B39" s="52" t="s">
        <v>1335</v>
      </c>
      <c r="C39" s="53"/>
      <c r="D39" s="53"/>
      <c r="E39" s="53"/>
      <c r="F39" s="53"/>
      <c r="G39" s="53"/>
      <c r="H39" s="53">
        <v>60161.650399999991</v>
      </c>
      <c r="I39" s="69">
        <f t="shared" si="8"/>
        <v>60161.650399999991</v>
      </c>
      <c r="J39" s="69">
        <v>62619.82747199999</v>
      </c>
      <c r="K39" s="53">
        <f t="shared" si="6"/>
        <v>65249.860225823992</v>
      </c>
      <c r="L39" s="176">
        <f t="shared" si="7"/>
        <v>68120.854075760246</v>
      </c>
      <c r="O39" s="190"/>
    </row>
    <row r="40" spans="1:16" x14ac:dyDescent="0.3">
      <c r="A40" s="52"/>
      <c r="B40" s="52"/>
      <c r="C40" s="53"/>
      <c r="D40" s="53"/>
      <c r="E40" s="53">
        <f t="shared" si="4"/>
        <v>0</v>
      </c>
      <c r="F40" s="53"/>
      <c r="G40" s="53">
        <f t="shared" si="3"/>
        <v>0</v>
      </c>
      <c r="H40" s="53"/>
      <c r="I40" s="69">
        <f t="shared" si="8"/>
        <v>0</v>
      </c>
      <c r="J40" s="69"/>
      <c r="K40" s="53">
        <f t="shared" si="6"/>
        <v>0</v>
      </c>
      <c r="L40" s="176">
        <f t="shared" si="7"/>
        <v>0</v>
      </c>
      <c r="O40" s="190"/>
    </row>
    <row r="41" spans="1:16" x14ac:dyDescent="0.3">
      <c r="A41" s="52" t="s">
        <v>1169</v>
      </c>
      <c r="B41" s="52" t="s">
        <v>1168</v>
      </c>
      <c r="C41" s="53">
        <v>700000</v>
      </c>
      <c r="D41" s="53">
        <v>-700000</v>
      </c>
      <c r="E41" s="53">
        <f t="shared" si="4"/>
        <v>0</v>
      </c>
      <c r="F41" s="53"/>
      <c r="G41" s="53">
        <f t="shared" si="3"/>
        <v>0</v>
      </c>
      <c r="H41" s="53"/>
      <c r="I41" s="69">
        <f t="shared" si="8"/>
        <v>0</v>
      </c>
      <c r="J41" s="69"/>
      <c r="K41" s="53">
        <f t="shared" si="6"/>
        <v>0</v>
      </c>
      <c r="L41" s="176">
        <f t="shared" si="7"/>
        <v>0</v>
      </c>
      <c r="O41" s="190"/>
    </row>
    <row r="42" spans="1:16" x14ac:dyDescent="0.3">
      <c r="A42" s="52" t="s">
        <v>1148</v>
      </c>
      <c r="B42" s="52" t="s">
        <v>863</v>
      </c>
      <c r="C42" s="53">
        <v>100000</v>
      </c>
      <c r="D42" s="53"/>
      <c r="E42" s="53">
        <f t="shared" si="4"/>
        <v>100000</v>
      </c>
      <c r="F42" s="53"/>
      <c r="G42" s="53">
        <f t="shared" si="3"/>
        <v>100000</v>
      </c>
      <c r="H42" s="53">
        <v>-100000</v>
      </c>
      <c r="I42" s="69">
        <f t="shared" si="8"/>
        <v>0</v>
      </c>
      <c r="J42" s="69">
        <v>100000</v>
      </c>
      <c r="K42" s="53">
        <f t="shared" si="6"/>
        <v>104200</v>
      </c>
      <c r="L42" s="176">
        <f t="shared" si="7"/>
        <v>108784.8</v>
      </c>
      <c r="O42" s="190"/>
    </row>
    <row r="43" spans="1:16" x14ac:dyDescent="0.3">
      <c r="A43" s="52" t="s">
        <v>1342</v>
      </c>
      <c r="B43" s="52" t="s">
        <v>1166</v>
      </c>
      <c r="C43" s="53">
        <v>150000</v>
      </c>
      <c r="D43" s="53"/>
      <c r="E43" s="53">
        <f t="shared" si="4"/>
        <v>150000</v>
      </c>
      <c r="F43" s="53"/>
      <c r="G43" s="53">
        <f t="shared" si="3"/>
        <v>150000</v>
      </c>
      <c r="H43" s="53">
        <v>-100000</v>
      </c>
      <c r="I43" s="69">
        <f t="shared" si="8"/>
        <v>50000</v>
      </c>
      <c r="J43" s="69">
        <v>50000</v>
      </c>
      <c r="K43" s="53">
        <f t="shared" si="6"/>
        <v>52100</v>
      </c>
      <c r="L43" s="176">
        <f t="shared" si="7"/>
        <v>54392.4</v>
      </c>
      <c r="O43" s="190"/>
    </row>
    <row r="44" spans="1:16" x14ac:dyDescent="0.3">
      <c r="A44" s="52" t="s">
        <v>367</v>
      </c>
      <c r="B44" s="52" t="s">
        <v>864</v>
      </c>
      <c r="C44" s="53">
        <v>100000</v>
      </c>
      <c r="D44" s="53"/>
      <c r="E44" s="53">
        <f t="shared" si="4"/>
        <v>100000</v>
      </c>
      <c r="F44" s="53"/>
      <c r="G44" s="53">
        <f t="shared" si="3"/>
        <v>100000</v>
      </c>
      <c r="H44" s="53"/>
      <c r="I44" s="69">
        <f t="shared" si="8"/>
        <v>100000</v>
      </c>
      <c r="J44" s="69">
        <v>100000</v>
      </c>
      <c r="K44" s="53">
        <f t="shared" si="6"/>
        <v>104200</v>
      </c>
      <c r="L44" s="176">
        <f t="shared" si="7"/>
        <v>108784.8</v>
      </c>
      <c r="O44" s="190"/>
    </row>
    <row r="45" spans="1:16" ht="13.5" thickBot="1" x14ac:dyDescent="0.35">
      <c r="A45" s="52"/>
      <c r="B45" s="52"/>
      <c r="C45" s="53"/>
      <c r="D45" s="53"/>
      <c r="E45" s="53">
        <f t="shared" si="4"/>
        <v>0</v>
      </c>
      <c r="F45" s="53"/>
      <c r="G45" s="53">
        <f t="shared" si="3"/>
        <v>0</v>
      </c>
      <c r="H45" s="53"/>
      <c r="I45" s="69">
        <f t="shared" si="8"/>
        <v>0</v>
      </c>
      <c r="J45" s="69"/>
      <c r="K45" s="53">
        <f t="shared" si="6"/>
        <v>0</v>
      </c>
      <c r="L45" s="176">
        <f t="shared" si="7"/>
        <v>0</v>
      </c>
      <c r="O45" s="190"/>
    </row>
    <row r="46" spans="1:16" s="77" customFormat="1" ht="13.5" thickBot="1" x14ac:dyDescent="0.35">
      <c r="A46" s="57" t="s">
        <v>674</v>
      </c>
      <c r="B46" s="57"/>
      <c r="C46" s="59">
        <f t="shared" ref="C46:L46" si="9">SUM(C15:C45)</f>
        <v>7715000</v>
      </c>
      <c r="D46" s="59">
        <f t="shared" si="9"/>
        <v>-1029000</v>
      </c>
      <c r="E46" s="59">
        <f t="shared" si="9"/>
        <v>6686000</v>
      </c>
      <c r="F46" s="59">
        <f t="shared" si="9"/>
        <v>14000000</v>
      </c>
      <c r="G46" s="59">
        <f t="shared" si="9"/>
        <v>20686000</v>
      </c>
      <c r="H46" s="59">
        <f t="shared" si="9"/>
        <v>182547.51039999997</v>
      </c>
      <c r="I46" s="59">
        <f t="shared" si="9"/>
        <v>20868547.510400001</v>
      </c>
      <c r="J46" s="59">
        <f t="shared" si="9"/>
        <v>4427619.8274719995</v>
      </c>
      <c r="K46" s="59">
        <f t="shared" si="9"/>
        <v>4613579.8602258237</v>
      </c>
      <c r="L46" s="59">
        <f t="shared" si="9"/>
        <v>4816577.3740757601</v>
      </c>
      <c r="M46" s="180"/>
      <c r="N46" s="193"/>
      <c r="O46" s="193"/>
      <c r="P46" s="219"/>
    </row>
    <row r="47" spans="1:16" s="77" customFormat="1" ht="13.5" thickTop="1" x14ac:dyDescent="0.3">
      <c r="A47" s="106"/>
      <c r="B47" s="106"/>
      <c r="C47" s="107"/>
      <c r="D47" s="107"/>
      <c r="E47" s="53">
        <f t="shared" si="4"/>
        <v>0</v>
      </c>
      <c r="F47" s="62"/>
      <c r="G47" s="53">
        <f t="shared" si="3"/>
        <v>0</v>
      </c>
      <c r="H47" s="62"/>
      <c r="I47" s="62"/>
      <c r="J47" s="62"/>
      <c r="K47" s="107"/>
      <c r="L47" s="223"/>
      <c r="M47" s="180"/>
      <c r="N47" s="193"/>
      <c r="O47" s="219"/>
      <c r="P47" s="219"/>
    </row>
    <row r="48" spans="1:16" s="77" customFormat="1" x14ac:dyDescent="0.3">
      <c r="A48" s="51" t="s">
        <v>77</v>
      </c>
      <c r="B48" s="52"/>
      <c r="C48" s="67"/>
      <c r="D48" s="67"/>
      <c r="E48" s="53">
        <f t="shared" si="4"/>
        <v>0</v>
      </c>
      <c r="F48" s="53"/>
      <c r="G48" s="53">
        <f t="shared" si="3"/>
        <v>0</v>
      </c>
      <c r="H48" s="53"/>
      <c r="I48" s="53"/>
      <c r="J48" s="53"/>
      <c r="K48" s="67"/>
      <c r="L48" s="185"/>
      <c r="M48" s="180"/>
      <c r="N48" s="193"/>
      <c r="O48" s="219"/>
      <c r="P48" s="219"/>
    </row>
    <row r="49" spans="1:16" s="77" customFormat="1" x14ac:dyDescent="0.3">
      <c r="A49" s="56" t="s">
        <v>371</v>
      </c>
      <c r="B49" s="56" t="s">
        <v>55</v>
      </c>
      <c r="C49" s="69">
        <v>5370501.5225000009</v>
      </c>
      <c r="D49" s="69"/>
      <c r="E49" s="53">
        <f t="shared" si="4"/>
        <v>5370501.5225000009</v>
      </c>
      <c r="F49" s="53"/>
      <c r="G49" s="53">
        <f t="shared" si="3"/>
        <v>5370501.5225000009</v>
      </c>
      <c r="H49" s="53">
        <v>-295835.69750000164</v>
      </c>
      <c r="I49" s="69">
        <f t="shared" ref="I49:I68" si="10">G49+H49</f>
        <v>5074665.8249999993</v>
      </c>
      <c r="J49" s="69">
        <v>5610912.3659679983</v>
      </c>
      <c r="K49" s="53">
        <f t="shared" ref="K49:K68" si="11">J49*104.2%</f>
        <v>5846570.6853386546</v>
      </c>
      <c r="L49" s="176">
        <f t="shared" ref="L49:L68" si="12">K49*104.4%</f>
        <v>6103819.7954935553</v>
      </c>
      <c r="M49" s="180"/>
      <c r="N49" s="193"/>
      <c r="O49" s="190"/>
      <c r="P49" s="219"/>
    </row>
    <row r="50" spans="1:16" s="77" customFormat="1" x14ac:dyDescent="0.3">
      <c r="A50" s="56" t="s">
        <v>372</v>
      </c>
      <c r="B50" s="56" t="s">
        <v>373</v>
      </c>
      <c r="C50" s="69">
        <v>600000</v>
      </c>
      <c r="D50" s="69"/>
      <c r="E50" s="53">
        <f t="shared" si="4"/>
        <v>600000</v>
      </c>
      <c r="F50" s="53"/>
      <c r="G50" s="53">
        <f t="shared" si="3"/>
        <v>600000</v>
      </c>
      <c r="H50" s="53">
        <v>145000</v>
      </c>
      <c r="I50" s="69">
        <f t="shared" si="10"/>
        <v>745000</v>
      </c>
      <c r="J50" s="69">
        <v>800000</v>
      </c>
      <c r="K50" s="53">
        <f t="shared" si="11"/>
        <v>833600</v>
      </c>
      <c r="L50" s="176">
        <f t="shared" si="12"/>
        <v>870278.4</v>
      </c>
      <c r="M50" s="180"/>
      <c r="N50" s="193"/>
      <c r="O50" s="190"/>
      <c r="P50" s="213"/>
    </row>
    <row r="51" spans="1:16" s="77" customFormat="1" x14ac:dyDescent="0.3">
      <c r="A51" s="56" t="s">
        <v>454</v>
      </c>
      <c r="B51" s="56" t="s">
        <v>374</v>
      </c>
      <c r="C51" s="69">
        <v>1760000</v>
      </c>
      <c r="D51" s="69"/>
      <c r="E51" s="53">
        <f t="shared" si="4"/>
        <v>1760000</v>
      </c>
      <c r="F51" s="53"/>
      <c r="G51" s="53">
        <f t="shared" si="3"/>
        <v>1760000</v>
      </c>
      <c r="H51" s="53">
        <v>0</v>
      </c>
      <c r="I51" s="69">
        <f t="shared" si="10"/>
        <v>1760000</v>
      </c>
      <c r="J51" s="69">
        <v>2412000</v>
      </c>
      <c r="K51" s="53">
        <f t="shared" si="11"/>
        <v>2513304</v>
      </c>
      <c r="L51" s="176">
        <f t="shared" si="12"/>
        <v>2623889.3760000002</v>
      </c>
      <c r="M51" s="180"/>
      <c r="N51" s="193"/>
      <c r="O51" s="190"/>
      <c r="P51" s="219"/>
    </row>
    <row r="52" spans="1:16" s="77" customFormat="1" x14ac:dyDescent="0.3">
      <c r="A52" s="56" t="s">
        <v>375</v>
      </c>
      <c r="B52" s="56" t="s">
        <v>56</v>
      </c>
      <c r="C52" s="69">
        <v>295161.60750000004</v>
      </c>
      <c r="D52" s="69"/>
      <c r="E52" s="53">
        <f t="shared" si="4"/>
        <v>295161.60750000004</v>
      </c>
      <c r="F52" s="53"/>
      <c r="G52" s="53">
        <f t="shared" si="3"/>
        <v>295161.60750000004</v>
      </c>
      <c r="H52" s="53">
        <v>-11836.455000000075</v>
      </c>
      <c r="I52" s="69">
        <f t="shared" si="10"/>
        <v>283325.15249999997</v>
      </c>
      <c r="J52" s="69">
        <v>515105.84509733348</v>
      </c>
      <c r="K52" s="53">
        <f t="shared" si="11"/>
        <v>536740.29059142154</v>
      </c>
      <c r="L52" s="176">
        <f t="shared" si="12"/>
        <v>560356.8633774441</v>
      </c>
      <c r="M52" s="180"/>
      <c r="N52" s="193"/>
      <c r="O52" s="190"/>
      <c r="P52" s="219"/>
    </row>
    <row r="53" spans="1:16" s="77" customFormat="1" x14ac:dyDescent="0.3">
      <c r="A53" s="56" t="s">
        <v>376</v>
      </c>
      <c r="B53" s="56" t="s">
        <v>57</v>
      </c>
      <c r="C53" s="69">
        <v>2236.7999999999997</v>
      </c>
      <c r="D53" s="69"/>
      <c r="E53" s="53">
        <f t="shared" si="4"/>
        <v>2236.7999999999997</v>
      </c>
      <c r="F53" s="53"/>
      <c r="G53" s="53">
        <f t="shared" si="3"/>
        <v>2236.7999999999997</v>
      </c>
      <c r="H53" s="53">
        <v>0</v>
      </c>
      <c r="I53" s="69">
        <f t="shared" si="10"/>
        <v>2236.7999999999997</v>
      </c>
      <c r="J53" s="69">
        <v>2236.7999999999997</v>
      </c>
      <c r="K53" s="53">
        <f t="shared" si="11"/>
        <v>2330.7455999999997</v>
      </c>
      <c r="L53" s="176">
        <f t="shared" si="12"/>
        <v>2433.2984063999997</v>
      </c>
      <c r="M53" s="180"/>
      <c r="N53" s="193"/>
      <c r="O53" s="190"/>
      <c r="P53" s="219"/>
    </row>
    <row r="54" spans="1:16" s="77" customFormat="1" x14ac:dyDescent="0.3">
      <c r="A54" s="56" t="s">
        <v>377</v>
      </c>
      <c r="B54" s="56" t="s">
        <v>58</v>
      </c>
      <c r="C54" s="69">
        <v>254392.2</v>
      </c>
      <c r="D54" s="69"/>
      <c r="E54" s="53">
        <f t="shared" si="4"/>
        <v>254392.2</v>
      </c>
      <c r="F54" s="53"/>
      <c r="G54" s="53">
        <f t="shared" si="3"/>
        <v>254392.2</v>
      </c>
      <c r="H54" s="53">
        <v>77494.680000000051</v>
      </c>
      <c r="I54" s="69">
        <f t="shared" si="10"/>
        <v>331886.88000000006</v>
      </c>
      <c r="J54" s="69">
        <v>331886.88000000006</v>
      </c>
      <c r="K54" s="53">
        <f t="shared" si="11"/>
        <v>345826.12896000006</v>
      </c>
      <c r="L54" s="176">
        <f t="shared" si="12"/>
        <v>361042.47863424005</v>
      </c>
      <c r="M54" s="180"/>
      <c r="N54" s="193"/>
      <c r="O54" s="190"/>
      <c r="P54" s="219"/>
    </row>
    <row r="55" spans="1:16" s="77" customFormat="1" x14ac:dyDescent="0.3">
      <c r="A55" s="56" t="s">
        <v>378</v>
      </c>
      <c r="B55" s="56" t="s">
        <v>121</v>
      </c>
      <c r="C55" s="69">
        <v>887721.00637499988</v>
      </c>
      <c r="D55" s="69"/>
      <c r="E55" s="53">
        <f t="shared" si="4"/>
        <v>887721.00637499988</v>
      </c>
      <c r="F55" s="53"/>
      <c r="G55" s="53">
        <f t="shared" si="3"/>
        <v>887721.00637499988</v>
      </c>
      <c r="H55" s="53">
        <v>60987.337806249969</v>
      </c>
      <c r="I55" s="69">
        <f t="shared" si="10"/>
        <v>948708.34418124985</v>
      </c>
      <c r="J55" s="69">
        <v>1018301.68354816</v>
      </c>
      <c r="K55" s="53">
        <f t="shared" si="11"/>
        <v>1061070.3542571827</v>
      </c>
      <c r="L55" s="176">
        <f t="shared" si="12"/>
        <v>1107757.4498444987</v>
      </c>
      <c r="M55" s="180"/>
      <c r="N55" s="193"/>
      <c r="O55" s="190"/>
      <c r="P55" s="219"/>
    </row>
    <row r="56" spans="1:16" s="77" customFormat="1" x14ac:dyDescent="0.3">
      <c r="A56" s="56" t="s">
        <v>379</v>
      </c>
      <c r="B56" s="56" t="s">
        <v>59</v>
      </c>
      <c r="C56" s="69">
        <v>33656.159999999996</v>
      </c>
      <c r="D56" s="69"/>
      <c r="E56" s="53">
        <f t="shared" si="4"/>
        <v>33656.159999999996</v>
      </c>
      <c r="F56" s="53"/>
      <c r="G56" s="53">
        <f t="shared" si="3"/>
        <v>33656.159999999996</v>
      </c>
      <c r="H56" s="53">
        <v>0</v>
      </c>
      <c r="I56" s="69">
        <f t="shared" si="10"/>
        <v>33656.159999999996</v>
      </c>
      <c r="J56" s="69">
        <v>33656.159999999996</v>
      </c>
      <c r="K56" s="53">
        <f t="shared" si="11"/>
        <v>35069.718719999997</v>
      </c>
      <c r="L56" s="176">
        <f t="shared" si="12"/>
        <v>36612.786343679996</v>
      </c>
      <c r="M56" s="180"/>
      <c r="N56" s="193"/>
      <c r="O56" s="190"/>
      <c r="P56" s="219"/>
    </row>
    <row r="57" spans="1:16" s="77" customFormat="1" x14ac:dyDescent="0.3">
      <c r="A57" s="56" t="s">
        <v>380</v>
      </c>
      <c r="B57" s="56" t="s">
        <v>381</v>
      </c>
      <c r="C57" s="69">
        <v>0</v>
      </c>
      <c r="D57" s="69"/>
      <c r="E57" s="53">
        <f t="shared" si="4"/>
        <v>0</v>
      </c>
      <c r="F57" s="53"/>
      <c r="G57" s="53">
        <f t="shared" si="3"/>
        <v>0</v>
      </c>
      <c r="H57" s="53">
        <v>0</v>
      </c>
      <c r="I57" s="69">
        <f t="shared" si="10"/>
        <v>0</v>
      </c>
      <c r="J57" s="69"/>
      <c r="K57" s="53">
        <f t="shared" si="11"/>
        <v>0</v>
      </c>
      <c r="L57" s="176">
        <f t="shared" si="12"/>
        <v>0</v>
      </c>
      <c r="M57" s="180"/>
      <c r="N57" s="193"/>
      <c r="O57" s="190"/>
      <c r="P57" s="219"/>
    </row>
    <row r="58" spans="1:16" s="77" customFormat="1" x14ac:dyDescent="0.3">
      <c r="A58" s="56" t="s">
        <v>455</v>
      </c>
      <c r="B58" s="56" t="s">
        <v>382</v>
      </c>
      <c r="C58" s="69">
        <v>0</v>
      </c>
      <c r="D58" s="69"/>
      <c r="E58" s="53">
        <f t="shared" si="4"/>
        <v>0</v>
      </c>
      <c r="F58" s="53"/>
      <c r="G58" s="53">
        <f t="shared" si="3"/>
        <v>0</v>
      </c>
      <c r="H58" s="53">
        <v>0</v>
      </c>
      <c r="I58" s="69">
        <f t="shared" si="10"/>
        <v>0</v>
      </c>
      <c r="J58" s="69"/>
      <c r="K58" s="53">
        <f t="shared" si="11"/>
        <v>0</v>
      </c>
      <c r="L58" s="176">
        <f t="shared" si="12"/>
        <v>0</v>
      </c>
      <c r="M58" s="180"/>
      <c r="N58" s="193"/>
      <c r="O58" s="190"/>
      <c r="P58" s="219"/>
    </row>
    <row r="59" spans="1:16" s="77" customFormat="1" x14ac:dyDescent="0.3">
      <c r="A59" s="56" t="s">
        <v>591</v>
      </c>
      <c r="B59" s="56" t="s">
        <v>590</v>
      </c>
      <c r="C59" s="69">
        <v>120000</v>
      </c>
      <c r="D59" s="69"/>
      <c r="E59" s="53">
        <f t="shared" si="4"/>
        <v>120000</v>
      </c>
      <c r="F59" s="53"/>
      <c r="G59" s="53">
        <f t="shared" si="3"/>
        <v>120000</v>
      </c>
      <c r="H59" s="53">
        <v>-100000</v>
      </c>
      <c r="I59" s="69">
        <f t="shared" si="10"/>
        <v>20000</v>
      </c>
      <c r="J59" s="69">
        <v>20000</v>
      </c>
      <c r="K59" s="53">
        <f t="shared" si="11"/>
        <v>20840</v>
      </c>
      <c r="L59" s="176">
        <f t="shared" si="12"/>
        <v>21756.959999999999</v>
      </c>
      <c r="M59" s="180"/>
      <c r="N59" s="193"/>
      <c r="O59" s="190"/>
      <c r="P59" s="219"/>
    </row>
    <row r="60" spans="1:16" s="77" customFormat="1" x14ac:dyDescent="0.3">
      <c r="A60" s="56" t="s">
        <v>383</v>
      </c>
      <c r="B60" s="56" t="s">
        <v>124</v>
      </c>
      <c r="C60" s="69">
        <v>250423.51500000004</v>
      </c>
      <c r="D60" s="69"/>
      <c r="E60" s="53">
        <f t="shared" si="4"/>
        <v>250423.51500000004</v>
      </c>
      <c r="F60" s="53"/>
      <c r="G60" s="53">
        <f t="shared" si="3"/>
        <v>250423.51500000004</v>
      </c>
      <c r="H60" s="53">
        <v>0</v>
      </c>
      <c r="I60" s="69">
        <f t="shared" si="10"/>
        <v>250423.51500000004</v>
      </c>
      <c r="J60" s="69">
        <v>264824.34019200003</v>
      </c>
      <c r="K60" s="53">
        <f t="shared" si="11"/>
        <v>275946.96248006402</v>
      </c>
      <c r="L60" s="176">
        <f t="shared" si="12"/>
        <v>288088.62882918684</v>
      </c>
      <c r="M60" s="180"/>
      <c r="N60" s="193"/>
      <c r="O60" s="190"/>
      <c r="P60" s="219"/>
    </row>
    <row r="61" spans="1:16" s="77" customFormat="1" x14ac:dyDescent="0.3">
      <c r="A61" s="56" t="s">
        <v>384</v>
      </c>
      <c r="B61" s="56" t="s">
        <v>60</v>
      </c>
      <c r="C61" s="69">
        <v>21786.48</v>
      </c>
      <c r="D61" s="69"/>
      <c r="E61" s="53">
        <f t="shared" si="4"/>
        <v>21786.48</v>
      </c>
      <c r="F61" s="53"/>
      <c r="G61" s="53">
        <f t="shared" si="3"/>
        <v>21786.48</v>
      </c>
      <c r="H61" s="53">
        <v>12935.880000000001</v>
      </c>
      <c r="I61" s="69">
        <f t="shared" si="10"/>
        <v>34722.36</v>
      </c>
      <c r="J61" s="69">
        <v>36805.7016</v>
      </c>
      <c r="K61" s="53">
        <f t="shared" si="11"/>
        <v>38351.5410672</v>
      </c>
      <c r="L61" s="176">
        <f t="shared" si="12"/>
        <v>40039.008874156803</v>
      </c>
      <c r="M61" s="180"/>
      <c r="N61" s="193"/>
      <c r="O61" s="190"/>
      <c r="P61" s="219"/>
    </row>
    <row r="62" spans="1:16" s="77" customFormat="1" x14ac:dyDescent="0.3">
      <c r="A62" s="56" t="s">
        <v>385</v>
      </c>
      <c r="B62" s="56" t="s">
        <v>61</v>
      </c>
      <c r="C62" s="69">
        <v>30000</v>
      </c>
      <c r="D62" s="69"/>
      <c r="E62" s="53">
        <f t="shared" si="4"/>
        <v>30000</v>
      </c>
      <c r="F62" s="53"/>
      <c r="G62" s="53">
        <f t="shared" si="3"/>
        <v>30000</v>
      </c>
      <c r="H62" s="53">
        <v>30991.489999999998</v>
      </c>
      <c r="I62" s="69">
        <f t="shared" si="10"/>
        <v>60991.49</v>
      </c>
      <c r="J62" s="69">
        <v>50000</v>
      </c>
      <c r="K62" s="53">
        <f t="shared" si="11"/>
        <v>52100</v>
      </c>
      <c r="L62" s="176">
        <f t="shared" si="12"/>
        <v>54392.4</v>
      </c>
      <c r="M62" s="180"/>
      <c r="N62" s="193"/>
      <c r="O62" s="190"/>
      <c r="P62" s="219"/>
    </row>
    <row r="63" spans="1:16" s="77" customFormat="1" x14ac:dyDescent="0.3">
      <c r="A63" s="56" t="s">
        <v>386</v>
      </c>
      <c r="B63" s="56" t="s">
        <v>62</v>
      </c>
      <c r="C63" s="69">
        <v>75000</v>
      </c>
      <c r="D63" s="69"/>
      <c r="E63" s="53">
        <f t="shared" si="4"/>
        <v>75000</v>
      </c>
      <c r="F63" s="53"/>
      <c r="G63" s="53">
        <f t="shared" si="3"/>
        <v>75000</v>
      </c>
      <c r="H63" s="53">
        <v>-43000</v>
      </c>
      <c r="I63" s="69">
        <f t="shared" si="10"/>
        <v>32000</v>
      </c>
      <c r="J63" s="69">
        <v>32000</v>
      </c>
      <c r="K63" s="53">
        <f t="shared" si="11"/>
        <v>33344</v>
      </c>
      <c r="L63" s="176">
        <f t="shared" si="12"/>
        <v>34811.135999999999</v>
      </c>
      <c r="M63" s="180"/>
      <c r="N63" s="193"/>
      <c r="O63" s="190"/>
      <c r="P63" s="219"/>
    </row>
    <row r="64" spans="1:16" s="77" customFormat="1" x14ac:dyDescent="0.3">
      <c r="A64" s="56" t="s">
        <v>443</v>
      </c>
      <c r="B64" s="56" t="s">
        <v>436</v>
      </c>
      <c r="C64" s="69">
        <v>100000</v>
      </c>
      <c r="D64" s="69"/>
      <c r="E64" s="53">
        <f t="shared" si="4"/>
        <v>100000</v>
      </c>
      <c r="F64" s="53"/>
      <c r="G64" s="53">
        <f t="shared" si="3"/>
        <v>100000</v>
      </c>
      <c r="H64" s="53">
        <v>-100000</v>
      </c>
      <c r="I64" s="69">
        <f t="shared" si="10"/>
        <v>0</v>
      </c>
      <c r="J64" s="69"/>
      <c r="K64" s="53">
        <f t="shared" si="11"/>
        <v>0</v>
      </c>
      <c r="L64" s="176">
        <f t="shared" si="12"/>
        <v>0</v>
      </c>
      <c r="M64" s="180"/>
      <c r="N64" s="193"/>
      <c r="O64" s="190"/>
      <c r="P64" s="219"/>
    </row>
    <row r="65" spans="1:16" s="77" customFormat="1" x14ac:dyDescent="0.3">
      <c r="A65" s="56" t="s">
        <v>387</v>
      </c>
      <c r="B65" s="56" t="s">
        <v>388</v>
      </c>
      <c r="C65" s="69">
        <v>577829.87250000006</v>
      </c>
      <c r="D65" s="69"/>
      <c r="E65" s="53">
        <f t="shared" si="4"/>
        <v>577829.87250000006</v>
      </c>
      <c r="F65" s="53"/>
      <c r="G65" s="53">
        <f t="shared" si="3"/>
        <v>577829.87250000006</v>
      </c>
      <c r="H65" s="53">
        <v>-23810.032500000088</v>
      </c>
      <c r="I65" s="69">
        <f t="shared" si="10"/>
        <v>554019.83999999997</v>
      </c>
      <c r="J65" s="69">
        <v>587261.03040000005</v>
      </c>
      <c r="K65" s="53">
        <f t="shared" si="11"/>
        <v>611925.99367680005</v>
      </c>
      <c r="L65" s="176">
        <f t="shared" si="12"/>
        <v>638850.73739857925</v>
      </c>
      <c r="M65" s="180"/>
      <c r="N65" s="193"/>
      <c r="O65" s="190"/>
      <c r="P65" s="219"/>
    </row>
    <row r="66" spans="1:16" s="77" customFormat="1" x14ac:dyDescent="0.3">
      <c r="A66" s="56" t="s">
        <v>389</v>
      </c>
      <c r="B66" s="56" t="s">
        <v>390</v>
      </c>
      <c r="C66" s="69">
        <v>53908.200000000004</v>
      </c>
      <c r="D66" s="69"/>
      <c r="E66" s="53">
        <f t="shared" si="4"/>
        <v>53908.200000000004</v>
      </c>
      <c r="F66" s="53"/>
      <c r="G66" s="53">
        <f t="shared" si="3"/>
        <v>53908.200000000004</v>
      </c>
      <c r="H66" s="53">
        <v>0</v>
      </c>
      <c r="I66" s="69">
        <f t="shared" si="10"/>
        <v>53908.200000000004</v>
      </c>
      <c r="J66" s="69">
        <v>53908.200000000004</v>
      </c>
      <c r="K66" s="53">
        <f t="shared" si="11"/>
        <v>56172.344400000009</v>
      </c>
      <c r="L66" s="176">
        <f t="shared" si="12"/>
        <v>58643.927553600013</v>
      </c>
      <c r="M66" s="180"/>
      <c r="N66" s="193"/>
      <c r="O66" s="190"/>
      <c r="P66" s="219"/>
    </row>
    <row r="67" spans="1:16" s="77" customFormat="1" x14ac:dyDescent="0.3">
      <c r="A67" s="56" t="s">
        <v>391</v>
      </c>
      <c r="B67" s="56" t="s">
        <v>392</v>
      </c>
      <c r="C67" s="69">
        <v>1784.6399999999999</v>
      </c>
      <c r="D67" s="69"/>
      <c r="E67" s="53">
        <f t="shared" si="4"/>
        <v>1784.6399999999999</v>
      </c>
      <c r="F67" s="53"/>
      <c r="G67" s="53">
        <f t="shared" si="3"/>
        <v>1784.6399999999999</v>
      </c>
      <c r="H67" s="53">
        <v>0</v>
      </c>
      <c r="I67" s="69">
        <f t="shared" si="10"/>
        <v>1784.6399999999999</v>
      </c>
      <c r="J67" s="69">
        <v>1784.6399999999999</v>
      </c>
      <c r="K67" s="53">
        <f t="shared" si="11"/>
        <v>1859.5948799999999</v>
      </c>
      <c r="L67" s="176">
        <f t="shared" si="12"/>
        <v>1941.4170547199999</v>
      </c>
      <c r="M67" s="180"/>
      <c r="N67" s="193"/>
      <c r="O67" s="190"/>
      <c r="P67" s="219"/>
    </row>
    <row r="68" spans="1:16" s="77" customFormat="1" ht="13.5" thickBot="1" x14ac:dyDescent="0.35">
      <c r="A68" s="56" t="s">
        <v>393</v>
      </c>
      <c r="B68" s="56" t="s">
        <v>394</v>
      </c>
      <c r="C68" s="69">
        <v>195365.04</v>
      </c>
      <c r="D68" s="69"/>
      <c r="E68" s="53">
        <f t="shared" si="4"/>
        <v>195365.04</v>
      </c>
      <c r="F68" s="53"/>
      <c r="G68" s="53">
        <f t="shared" si="3"/>
        <v>195365.04</v>
      </c>
      <c r="H68" s="53">
        <v>8400.7200000000012</v>
      </c>
      <c r="I68" s="69">
        <f t="shared" si="10"/>
        <v>203765.76000000001</v>
      </c>
      <c r="J68" s="69">
        <v>215991.70560000002</v>
      </c>
      <c r="K68" s="53">
        <f t="shared" si="11"/>
        <v>225063.35723520003</v>
      </c>
      <c r="L68" s="176">
        <f t="shared" si="12"/>
        <v>234966.14495354885</v>
      </c>
      <c r="M68" s="180"/>
      <c r="N68" s="193"/>
      <c r="O68" s="190"/>
      <c r="P68" s="219"/>
    </row>
    <row r="69" spans="1:16" s="77" customFormat="1" ht="13.5" thickBot="1" x14ac:dyDescent="0.35">
      <c r="A69" s="57" t="s">
        <v>201</v>
      </c>
      <c r="B69" s="57"/>
      <c r="C69" s="59">
        <f>SUM(C49:C68)</f>
        <v>10629767.043875001</v>
      </c>
      <c r="D69" s="59">
        <f t="shared" ref="D69:L69" si="13">SUM(D49:D68)</f>
        <v>0</v>
      </c>
      <c r="E69" s="59">
        <f t="shared" si="13"/>
        <v>10629767.043875001</v>
      </c>
      <c r="F69" s="59">
        <f t="shared" si="13"/>
        <v>0</v>
      </c>
      <c r="G69" s="59">
        <f t="shared" si="13"/>
        <v>10629767.043875001</v>
      </c>
      <c r="H69" s="59">
        <f t="shared" si="13"/>
        <v>-238672.07719375179</v>
      </c>
      <c r="I69" s="59">
        <f t="shared" si="13"/>
        <v>10391094.966681249</v>
      </c>
      <c r="J69" s="59">
        <f t="shared" si="13"/>
        <v>11986675.352405494</v>
      </c>
      <c r="K69" s="59">
        <f t="shared" si="13"/>
        <v>12490115.717206525</v>
      </c>
      <c r="L69" s="59">
        <f t="shared" si="13"/>
        <v>13039680.808763612</v>
      </c>
      <c r="M69" s="180"/>
      <c r="N69" s="193"/>
      <c r="O69" s="193"/>
      <c r="P69" s="219"/>
    </row>
    <row r="70" spans="1:16" s="77" customFormat="1" ht="13.5" thickTop="1" x14ac:dyDescent="0.3">
      <c r="A70" s="106"/>
      <c r="B70" s="106"/>
      <c r="C70" s="107"/>
      <c r="D70" s="107"/>
      <c r="E70" s="101">
        <f t="shared" si="4"/>
        <v>0</v>
      </c>
      <c r="F70" s="101"/>
      <c r="G70" s="53">
        <f t="shared" si="3"/>
        <v>0</v>
      </c>
      <c r="H70" s="62"/>
      <c r="I70" s="62"/>
      <c r="J70" s="62"/>
      <c r="K70" s="107"/>
      <c r="L70" s="223"/>
      <c r="M70" s="180"/>
      <c r="N70" s="193"/>
      <c r="O70" s="219"/>
      <c r="P70" s="219"/>
    </row>
    <row r="71" spans="1:16" s="77" customFormat="1" x14ac:dyDescent="0.3">
      <c r="A71" s="51" t="s">
        <v>81</v>
      </c>
      <c r="B71" s="51"/>
      <c r="C71" s="67"/>
      <c r="D71" s="67"/>
      <c r="E71" s="53"/>
      <c r="F71" s="53"/>
      <c r="G71" s="53">
        <f t="shared" si="3"/>
        <v>0</v>
      </c>
      <c r="H71" s="53"/>
      <c r="I71" s="53"/>
      <c r="J71" s="53"/>
      <c r="K71" s="67"/>
      <c r="L71" s="185"/>
      <c r="M71" s="180"/>
      <c r="N71" s="193"/>
      <c r="O71" s="219"/>
      <c r="P71" s="219"/>
    </row>
    <row r="72" spans="1:16" s="77" customFormat="1" x14ac:dyDescent="0.3">
      <c r="A72" s="51"/>
      <c r="B72" s="51"/>
      <c r="C72" s="67"/>
      <c r="D72" s="67"/>
      <c r="E72" s="53"/>
      <c r="F72" s="53"/>
      <c r="G72" s="53">
        <f t="shared" si="3"/>
        <v>0</v>
      </c>
      <c r="H72" s="53"/>
      <c r="I72" s="53"/>
      <c r="J72" s="53"/>
      <c r="K72" s="67"/>
      <c r="L72" s="185"/>
      <c r="M72" s="180"/>
      <c r="N72" s="193"/>
      <c r="O72" s="219"/>
      <c r="P72" s="219"/>
    </row>
    <row r="73" spans="1:16" s="77" customFormat="1" x14ac:dyDescent="0.3">
      <c r="A73" s="52" t="s">
        <v>1238</v>
      </c>
      <c r="B73" s="52" t="s">
        <v>1222</v>
      </c>
      <c r="C73" s="67"/>
      <c r="D73" s="53">
        <v>1950000</v>
      </c>
      <c r="E73" s="53">
        <f t="shared" si="4"/>
        <v>1950000</v>
      </c>
      <c r="F73" s="53"/>
      <c r="G73" s="53">
        <f t="shared" si="3"/>
        <v>1950000</v>
      </c>
      <c r="H73" s="53">
        <v>370000</v>
      </c>
      <c r="I73" s="69">
        <f>G73+H73</f>
        <v>2320000</v>
      </c>
      <c r="J73" s="69">
        <v>0</v>
      </c>
      <c r="K73" s="53">
        <f>J73*104.2%</f>
        <v>0</v>
      </c>
      <c r="L73" s="176">
        <f>K73*104.4%</f>
        <v>0</v>
      </c>
      <c r="M73" s="180"/>
      <c r="N73" s="193"/>
      <c r="O73" s="190"/>
      <c r="P73" s="219"/>
    </row>
    <row r="74" spans="1:16" s="77" customFormat="1" x14ac:dyDescent="0.3">
      <c r="A74" s="56" t="s">
        <v>1236</v>
      </c>
      <c r="B74" s="56" t="s">
        <v>1237</v>
      </c>
      <c r="C74" s="83"/>
      <c r="D74" s="69">
        <v>379000</v>
      </c>
      <c r="E74" s="69">
        <f t="shared" si="4"/>
        <v>379000</v>
      </c>
      <c r="F74" s="69"/>
      <c r="G74" s="53">
        <f t="shared" si="3"/>
        <v>379000</v>
      </c>
      <c r="H74" s="69">
        <v>294000</v>
      </c>
      <c r="I74" s="69">
        <f>G74+H74</f>
        <v>673000</v>
      </c>
      <c r="J74" s="69"/>
      <c r="K74" s="53">
        <f>J74*104.2%</f>
        <v>0</v>
      </c>
      <c r="L74" s="176">
        <f>K74*104.4%</f>
        <v>0</v>
      </c>
      <c r="M74" s="180"/>
      <c r="N74" s="193"/>
      <c r="O74" s="190"/>
      <c r="P74" s="219"/>
    </row>
    <row r="75" spans="1:16" s="77" customFormat="1" ht="13.5" thickBot="1" x14ac:dyDescent="0.35">
      <c r="A75" s="73" t="s">
        <v>1310</v>
      </c>
      <c r="B75" s="73" t="s">
        <v>1374</v>
      </c>
      <c r="C75" s="80"/>
      <c r="D75" s="79"/>
      <c r="E75" s="79"/>
      <c r="F75" s="79"/>
      <c r="G75" s="79"/>
      <c r="H75" s="79"/>
      <c r="I75" s="79"/>
      <c r="J75" s="79">
        <v>0</v>
      </c>
      <c r="K75" s="53">
        <f>J75*104.2%</f>
        <v>0</v>
      </c>
      <c r="L75" s="176">
        <f>K75*104.4%</f>
        <v>0</v>
      </c>
      <c r="M75" s="180"/>
      <c r="N75" s="193"/>
      <c r="O75" s="190"/>
      <c r="P75" s="219"/>
    </row>
    <row r="76" spans="1:16" s="77" customFormat="1" ht="13.5" thickBot="1" x14ac:dyDescent="0.35">
      <c r="A76" s="70" t="s">
        <v>722</v>
      </c>
      <c r="B76" s="70"/>
      <c r="C76" s="72">
        <f t="shared" ref="C76:D76" si="14">SUM(C73:C74)</f>
        <v>0</v>
      </c>
      <c r="D76" s="72">
        <f t="shared" si="14"/>
        <v>2329000</v>
      </c>
      <c r="E76" s="72">
        <f>SUM(E73:E75)</f>
        <v>2329000</v>
      </c>
      <c r="F76" s="72">
        <f t="shared" ref="F76:L76" si="15">SUM(F73:F75)</f>
        <v>0</v>
      </c>
      <c r="G76" s="72">
        <f t="shared" si="15"/>
        <v>2329000</v>
      </c>
      <c r="H76" s="72">
        <f t="shared" si="15"/>
        <v>664000</v>
      </c>
      <c r="I76" s="72">
        <f t="shared" si="15"/>
        <v>2993000</v>
      </c>
      <c r="J76" s="72">
        <f t="shared" si="15"/>
        <v>0</v>
      </c>
      <c r="K76" s="72">
        <f t="shared" si="15"/>
        <v>0</v>
      </c>
      <c r="L76" s="72">
        <f t="shared" si="15"/>
        <v>0</v>
      </c>
      <c r="M76" s="180"/>
      <c r="N76" s="193"/>
      <c r="O76" s="193"/>
      <c r="P76" s="219"/>
    </row>
    <row r="77" spans="1:16" s="77" customFormat="1" ht="14" thickTop="1" thickBot="1" x14ac:dyDescent="0.35">
      <c r="A77" s="117"/>
      <c r="B77" s="117"/>
      <c r="C77" s="117"/>
      <c r="D77" s="118"/>
      <c r="E77" s="97"/>
      <c r="F77" s="97"/>
      <c r="G77" s="53">
        <f t="shared" si="3"/>
        <v>0</v>
      </c>
      <c r="H77" s="79"/>
      <c r="I77" s="79"/>
      <c r="J77" s="79"/>
      <c r="K77" s="118"/>
      <c r="L77" s="224"/>
      <c r="M77" s="180"/>
      <c r="N77" s="193"/>
      <c r="O77" s="219"/>
      <c r="P77" s="219"/>
    </row>
    <row r="78" spans="1:16" s="77" customFormat="1" ht="13.5" thickBot="1" x14ac:dyDescent="0.35">
      <c r="A78" s="70" t="s">
        <v>699</v>
      </c>
      <c r="B78" s="70"/>
      <c r="C78" s="72">
        <f t="shared" ref="C78:L78" si="16">C69+C46+C76</f>
        <v>18344767.043875001</v>
      </c>
      <c r="D78" s="72">
        <f t="shared" si="16"/>
        <v>1300000</v>
      </c>
      <c r="E78" s="72">
        <f t="shared" si="16"/>
        <v>19644767.043875001</v>
      </c>
      <c r="F78" s="72">
        <f t="shared" si="16"/>
        <v>14000000</v>
      </c>
      <c r="G78" s="72">
        <f t="shared" si="16"/>
        <v>33644767.043875001</v>
      </c>
      <c r="H78" s="72">
        <f t="shared" si="16"/>
        <v>607875.43320624821</v>
      </c>
      <c r="I78" s="72">
        <f t="shared" si="16"/>
        <v>34252642.477081254</v>
      </c>
      <c r="J78" s="72">
        <f t="shared" si="16"/>
        <v>16414295.179877494</v>
      </c>
      <c r="K78" s="72">
        <f t="shared" si="16"/>
        <v>17103695.577432349</v>
      </c>
      <c r="L78" s="72">
        <f t="shared" si="16"/>
        <v>17856258.182839371</v>
      </c>
      <c r="M78" s="180"/>
      <c r="N78" s="193"/>
      <c r="O78" s="193"/>
      <c r="P78" s="219"/>
    </row>
    <row r="79" spans="1:16" s="77" customFormat="1" ht="13.5" thickTop="1" x14ac:dyDescent="0.3">
      <c r="A79" s="60"/>
      <c r="B79" s="60"/>
      <c r="C79" s="78"/>
      <c r="D79" s="78"/>
      <c r="E79" s="53">
        <f t="shared" si="4"/>
        <v>0</v>
      </c>
      <c r="F79" s="62"/>
      <c r="G79" s="53">
        <f t="shared" ref="G79:G120" si="17">E79+F79</f>
        <v>0</v>
      </c>
      <c r="H79" s="62"/>
      <c r="I79" s="62"/>
      <c r="J79" s="62"/>
      <c r="K79" s="78"/>
      <c r="L79" s="178"/>
      <c r="M79" s="180"/>
      <c r="N79" s="193"/>
      <c r="O79" s="219"/>
      <c r="P79" s="219"/>
    </row>
    <row r="80" spans="1:16" s="77" customFormat="1" x14ac:dyDescent="0.3">
      <c r="A80" s="51" t="s">
        <v>700</v>
      </c>
      <c r="B80" s="51"/>
      <c r="C80" s="67"/>
      <c r="D80" s="67"/>
      <c r="E80" s="53">
        <f t="shared" si="4"/>
        <v>0</v>
      </c>
      <c r="F80" s="53"/>
      <c r="G80" s="53">
        <f t="shared" si="17"/>
        <v>0</v>
      </c>
      <c r="H80" s="53"/>
      <c r="I80" s="53"/>
      <c r="J80" s="53"/>
      <c r="K80" s="67"/>
      <c r="L80" s="185"/>
      <c r="M80" s="180"/>
      <c r="N80" s="193"/>
      <c r="O80" s="219"/>
      <c r="P80" s="219"/>
    </row>
    <row r="81" spans="1:16" s="77" customFormat="1" x14ac:dyDescent="0.3">
      <c r="A81" s="51"/>
      <c r="B81" s="51"/>
      <c r="C81" s="67"/>
      <c r="D81" s="67"/>
      <c r="E81" s="53">
        <f t="shared" si="4"/>
        <v>0</v>
      </c>
      <c r="F81" s="53"/>
      <c r="G81" s="53">
        <f t="shared" si="17"/>
        <v>0</v>
      </c>
      <c r="H81" s="53"/>
      <c r="I81" s="53"/>
      <c r="J81" s="53"/>
      <c r="K81" s="67"/>
      <c r="L81" s="185"/>
      <c r="M81" s="180"/>
      <c r="N81" s="193"/>
      <c r="O81" s="219"/>
      <c r="P81" s="219"/>
    </row>
    <row r="82" spans="1:16" s="77" customFormat="1" x14ac:dyDescent="0.3">
      <c r="A82" s="51" t="s">
        <v>73</v>
      </c>
      <c r="B82" s="51"/>
      <c r="C82" s="67"/>
      <c r="D82" s="67"/>
      <c r="E82" s="53">
        <f t="shared" si="4"/>
        <v>0</v>
      </c>
      <c r="F82" s="53"/>
      <c r="G82" s="53">
        <f t="shared" si="17"/>
        <v>0</v>
      </c>
      <c r="H82" s="53"/>
      <c r="I82" s="53"/>
      <c r="J82" s="53"/>
      <c r="K82" s="67"/>
      <c r="L82" s="185"/>
      <c r="M82" s="180"/>
      <c r="N82" s="193"/>
      <c r="O82" s="219"/>
      <c r="P82" s="219"/>
    </row>
    <row r="83" spans="1:16" s="77" customFormat="1" x14ac:dyDescent="0.3">
      <c r="A83" s="51" t="s">
        <v>72</v>
      </c>
      <c r="B83" s="51"/>
      <c r="C83" s="67"/>
      <c r="D83" s="67"/>
      <c r="E83" s="53">
        <f t="shared" si="4"/>
        <v>0</v>
      </c>
      <c r="F83" s="53"/>
      <c r="G83" s="53">
        <f t="shared" si="17"/>
        <v>0</v>
      </c>
      <c r="H83" s="53"/>
      <c r="I83" s="53"/>
      <c r="J83" s="53"/>
      <c r="K83" s="67"/>
      <c r="L83" s="185"/>
      <c r="M83" s="180"/>
      <c r="N83" s="193"/>
      <c r="O83" s="219"/>
      <c r="P83" s="219"/>
    </row>
    <row r="84" spans="1:16" x14ac:dyDescent="0.3">
      <c r="A84" s="52" t="s">
        <v>1149</v>
      </c>
      <c r="B84" s="52" t="s">
        <v>360</v>
      </c>
      <c r="C84" s="53">
        <v>-29630000</v>
      </c>
      <c r="D84" s="53"/>
      <c r="E84" s="53">
        <f t="shared" si="4"/>
        <v>-29630000</v>
      </c>
      <c r="F84" s="53"/>
      <c r="G84" s="53">
        <f t="shared" si="17"/>
        <v>-29630000</v>
      </c>
      <c r="H84" s="53"/>
      <c r="I84" s="69">
        <f>G84+H84</f>
        <v>-29630000</v>
      </c>
      <c r="J84" s="69">
        <v>-31331000</v>
      </c>
      <c r="K84" s="53">
        <v>-33267000</v>
      </c>
      <c r="L84" s="176">
        <v>-35000000</v>
      </c>
      <c r="O84" s="190"/>
    </row>
    <row r="85" spans="1:16" s="77" customFormat="1" ht="13.5" thickBot="1" x14ac:dyDescent="0.35">
      <c r="A85" s="51"/>
      <c r="B85" s="51"/>
      <c r="C85" s="67"/>
      <c r="D85" s="67"/>
      <c r="E85" s="53">
        <f t="shared" si="4"/>
        <v>0</v>
      </c>
      <c r="F85" s="53"/>
      <c r="G85" s="53">
        <f t="shared" si="17"/>
        <v>0</v>
      </c>
      <c r="H85" s="53"/>
      <c r="I85" s="53"/>
      <c r="J85" s="53"/>
      <c r="K85" s="67"/>
      <c r="L85" s="185"/>
      <c r="M85" s="180"/>
      <c r="N85" s="193"/>
      <c r="O85" s="219"/>
      <c r="P85" s="219"/>
    </row>
    <row r="86" spans="1:16" s="77" customFormat="1" ht="13.5" thickBot="1" x14ac:dyDescent="0.35">
      <c r="A86" s="57" t="s">
        <v>200</v>
      </c>
      <c r="B86" s="57"/>
      <c r="C86" s="59">
        <f>SUM(C84:C85)</f>
        <v>-29630000</v>
      </c>
      <c r="D86" s="59">
        <f t="shared" ref="D86:L86" si="18">SUM(D84:D85)</f>
        <v>0</v>
      </c>
      <c r="E86" s="59">
        <f t="shared" si="18"/>
        <v>-29630000</v>
      </c>
      <c r="F86" s="59">
        <f t="shared" si="18"/>
        <v>0</v>
      </c>
      <c r="G86" s="59">
        <f t="shared" si="18"/>
        <v>-29630000</v>
      </c>
      <c r="H86" s="59">
        <f t="shared" si="18"/>
        <v>0</v>
      </c>
      <c r="I86" s="59">
        <f t="shared" si="18"/>
        <v>-29630000</v>
      </c>
      <c r="J86" s="59">
        <f t="shared" si="18"/>
        <v>-31331000</v>
      </c>
      <c r="K86" s="59">
        <f t="shared" si="18"/>
        <v>-33267000</v>
      </c>
      <c r="L86" s="59">
        <f t="shared" si="18"/>
        <v>-35000000</v>
      </c>
      <c r="M86" s="180"/>
      <c r="N86" s="193"/>
      <c r="O86" s="193"/>
      <c r="P86" s="219"/>
    </row>
    <row r="87" spans="1:16" s="77" customFormat="1" ht="13.5" thickTop="1" x14ac:dyDescent="0.3">
      <c r="A87" s="51"/>
      <c r="B87" s="51"/>
      <c r="C87" s="67"/>
      <c r="D87" s="67"/>
      <c r="E87" s="53">
        <f t="shared" si="4"/>
        <v>0</v>
      </c>
      <c r="F87" s="53"/>
      <c r="G87" s="53">
        <f t="shared" si="17"/>
        <v>0</v>
      </c>
      <c r="H87" s="53"/>
      <c r="I87" s="53"/>
      <c r="J87" s="53"/>
      <c r="K87" s="67"/>
      <c r="L87" s="185"/>
      <c r="M87" s="180"/>
      <c r="N87" s="193"/>
      <c r="O87" s="219"/>
      <c r="P87" s="219"/>
    </row>
    <row r="88" spans="1:16" s="77" customFormat="1" x14ac:dyDescent="0.3">
      <c r="A88" s="51" t="s">
        <v>458</v>
      </c>
      <c r="B88" s="51"/>
      <c r="C88" s="67"/>
      <c r="D88" s="67"/>
      <c r="E88" s="53">
        <f t="shared" si="4"/>
        <v>0</v>
      </c>
      <c r="F88" s="53"/>
      <c r="G88" s="53">
        <f t="shared" si="17"/>
        <v>0</v>
      </c>
      <c r="H88" s="53"/>
      <c r="I88" s="53"/>
      <c r="J88" s="53"/>
      <c r="K88" s="67"/>
      <c r="L88" s="185"/>
      <c r="M88" s="180"/>
      <c r="N88" s="193"/>
      <c r="O88" s="219"/>
      <c r="P88" s="219"/>
    </row>
    <row r="89" spans="1:16" s="77" customFormat="1" x14ac:dyDescent="0.3">
      <c r="A89" s="51"/>
      <c r="B89" s="51"/>
      <c r="C89" s="67"/>
      <c r="D89" s="67"/>
      <c r="E89" s="53">
        <f t="shared" ref="E89:E120" si="19">C89+D89</f>
        <v>0</v>
      </c>
      <c r="F89" s="53"/>
      <c r="G89" s="53">
        <f t="shared" si="17"/>
        <v>0</v>
      </c>
      <c r="H89" s="53"/>
      <c r="I89" s="53"/>
      <c r="J89" s="53"/>
      <c r="K89" s="67"/>
      <c r="L89" s="185"/>
      <c r="M89" s="180"/>
      <c r="N89" s="193"/>
      <c r="O89" s="219"/>
      <c r="P89" s="219"/>
    </row>
    <row r="90" spans="1:16" x14ac:dyDescent="0.3">
      <c r="A90" s="52" t="s">
        <v>1150</v>
      </c>
      <c r="B90" s="52" t="s">
        <v>370</v>
      </c>
      <c r="C90" s="53">
        <v>70000</v>
      </c>
      <c r="D90" s="53"/>
      <c r="E90" s="53">
        <f t="shared" si="19"/>
        <v>70000</v>
      </c>
      <c r="F90" s="53"/>
      <c r="G90" s="53">
        <f t="shared" si="17"/>
        <v>70000</v>
      </c>
      <c r="H90" s="53">
        <v>-70000</v>
      </c>
      <c r="I90" s="69">
        <f t="shared" ref="I90:I102" si="20">G90+H90</f>
        <v>0</v>
      </c>
      <c r="J90" s="69">
        <v>50000</v>
      </c>
      <c r="K90" s="53">
        <f t="shared" ref="K90:K103" si="21">J90*104.2%</f>
        <v>52100</v>
      </c>
      <c r="L90" s="176">
        <f t="shared" ref="L90:L103" si="22">K90*104.4%</f>
        <v>54392.4</v>
      </c>
      <c r="O90" s="190"/>
    </row>
    <row r="91" spans="1:16" x14ac:dyDescent="0.3">
      <c r="A91" s="52" t="s">
        <v>1151</v>
      </c>
      <c r="B91" s="52" t="s">
        <v>223</v>
      </c>
      <c r="C91" s="53">
        <v>30000</v>
      </c>
      <c r="D91" s="53"/>
      <c r="E91" s="53">
        <f t="shared" si="19"/>
        <v>30000</v>
      </c>
      <c r="F91" s="53"/>
      <c r="G91" s="53">
        <f t="shared" si="17"/>
        <v>30000</v>
      </c>
      <c r="H91" s="53"/>
      <c r="I91" s="69">
        <f t="shared" si="20"/>
        <v>30000</v>
      </c>
      <c r="J91" s="69">
        <v>30000</v>
      </c>
      <c r="K91" s="53">
        <f t="shared" si="21"/>
        <v>31260</v>
      </c>
      <c r="L91" s="176">
        <f t="shared" si="22"/>
        <v>32635.440000000002</v>
      </c>
      <c r="O91" s="190"/>
    </row>
    <row r="92" spans="1:16" x14ac:dyDescent="0.3">
      <c r="A92" s="52"/>
      <c r="B92" s="52"/>
      <c r="C92" s="53"/>
      <c r="D92" s="53"/>
      <c r="E92" s="53">
        <f t="shared" si="19"/>
        <v>0</v>
      </c>
      <c r="F92" s="53"/>
      <c r="G92" s="53">
        <f t="shared" si="17"/>
        <v>0</v>
      </c>
      <c r="H92" s="53"/>
      <c r="I92" s="69">
        <f t="shared" si="20"/>
        <v>0</v>
      </c>
      <c r="J92" s="69"/>
      <c r="K92" s="53">
        <f t="shared" si="21"/>
        <v>0</v>
      </c>
      <c r="L92" s="176">
        <f t="shared" si="22"/>
        <v>0</v>
      </c>
      <c r="O92" s="190"/>
    </row>
    <row r="93" spans="1:16" x14ac:dyDescent="0.3">
      <c r="A93" s="52" t="s">
        <v>1171</v>
      </c>
      <c r="B93" s="52" t="s">
        <v>1167</v>
      </c>
      <c r="C93" s="53">
        <v>3300000</v>
      </c>
      <c r="D93" s="53">
        <v>-1300000</v>
      </c>
      <c r="E93" s="53">
        <f t="shared" si="19"/>
        <v>2000000</v>
      </c>
      <c r="F93" s="53"/>
      <c r="G93" s="53">
        <f t="shared" si="17"/>
        <v>2000000</v>
      </c>
      <c r="H93" s="53">
        <v>-1367011.79</v>
      </c>
      <c r="I93" s="69">
        <f t="shared" si="20"/>
        <v>632988.21</v>
      </c>
      <c r="J93" s="69">
        <v>200000</v>
      </c>
      <c r="K93" s="53">
        <f t="shared" si="21"/>
        <v>208400</v>
      </c>
      <c r="L93" s="176">
        <f t="shared" si="22"/>
        <v>217569.6</v>
      </c>
      <c r="O93" s="190"/>
    </row>
    <row r="94" spans="1:16" x14ac:dyDescent="0.3">
      <c r="A94" s="52"/>
      <c r="B94" s="52"/>
      <c r="C94" s="53"/>
      <c r="D94" s="53"/>
      <c r="E94" s="53">
        <f t="shared" si="19"/>
        <v>0</v>
      </c>
      <c r="F94" s="53"/>
      <c r="G94" s="53">
        <f t="shared" si="17"/>
        <v>0</v>
      </c>
      <c r="H94" s="53"/>
      <c r="I94" s="69">
        <f t="shared" si="20"/>
        <v>0</v>
      </c>
      <c r="J94" s="69"/>
      <c r="K94" s="53">
        <f t="shared" si="21"/>
        <v>0</v>
      </c>
      <c r="L94" s="176">
        <f t="shared" si="22"/>
        <v>0</v>
      </c>
      <c r="O94" s="190"/>
    </row>
    <row r="95" spans="1:16" x14ac:dyDescent="0.3">
      <c r="A95" s="52"/>
      <c r="B95" s="51" t="s">
        <v>478</v>
      </c>
      <c r="C95" s="53"/>
      <c r="D95" s="53"/>
      <c r="E95" s="53">
        <f t="shared" si="19"/>
        <v>0</v>
      </c>
      <c r="F95" s="53"/>
      <c r="G95" s="53">
        <f t="shared" si="17"/>
        <v>0</v>
      </c>
      <c r="H95" s="53"/>
      <c r="I95" s="69">
        <f t="shared" si="20"/>
        <v>0</v>
      </c>
      <c r="J95" s="69"/>
      <c r="K95" s="53">
        <f t="shared" si="21"/>
        <v>0</v>
      </c>
      <c r="L95" s="176">
        <f t="shared" si="22"/>
        <v>0</v>
      </c>
      <c r="O95" s="190"/>
    </row>
    <row r="96" spans="1:16" x14ac:dyDescent="0.3">
      <c r="A96" s="52" t="s">
        <v>1152</v>
      </c>
      <c r="B96" s="52" t="s">
        <v>44</v>
      </c>
      <c r="C96" s="53">
        <v>50000</v>
      </c>
      <c r="D96" s="53"/>
      <c r="E96" s="53">
        <f t="shared" si="19"/>
        <v>50000</v>
      </c>
      <c r="F96" s="53"/>
      <c r="G96" s="53">
        <f t="shared" si="17"/>
        <v>50000</v>
      </c>
      <c r="H96" s="53"/>
      <c r="I96" s="69">
        <f t="shared" si="20"/>
        <v>50000</v>
      </c>
      <c r="J96" s="69">
        <v>50000</v>
      </c>
      <c r="K96" s="53">
        <f t="shared" si="21"/>
        <v>52100</v>
      </c>
      <c r="L96" s="176">
        <f t="shared" si="22"/>
        <v>54392.4</v>
      </c>
      <c r="O96" s="190"/>
    </row>
    <row r="97" spans="1:15" x14ac:dyDescent="0.3">
      <c r="A97" s="52" t="s">
        <v>1153</v>
      </c>
      <c r="B97" s="52" t="s">
        <v>1319</v>
      </c>
      <c r="C97" s="53">
        <v>10000</v>
      </c>
      <c r="D97" s="53"/>
      <c r="E97" s="53">
        <f t="shared" si="19"/>
        <v>10000</v>
      </c>
      <c r="F97" s="53"/>
      <c r="G97" s="53">
        <f t="shared" si="17"/>
        <v>10000</v>
      </c>
      <c r="H97" s="53"/>
      <c r="I97" s="69">
        <f t="shared" si="20"/>
        <v>10000</v>
      </c>
      <c r="J97" s="69">
        <v>10000</v>
      </c>
      <c r="K97" s="53">
        <f t="shared" si="21"/>
        <v>10420</v>
      </c>
      <c r="L97" s="176">
        <f t="shared" si="22"/>
        <v>10878.48</v>
      </c>
      <c r="O97" s="190"/>
    </row>
    <row r="98" spans="1:15" x14ac:dyDescent="0.3">
      <c r="A98" s="52" t="s">
        <v>1154</v>
      </c>
      <c r="B98" s="52" t="s">
        <v>1320</v>
      </c>
      <c r="C98" s="53">
        <v>50000</v>
      </c>
      <c r="D98" s="53"/>
      <c r="E98" s="53">
        <f t="shared" si="19"/>
        <v>50000</v>
      </c>
      <c r="F98" s="53"/>
      <c r="G98" s="53">
        <f t="shared" si="17"/>
        <v>50000</v>
      </c>
      <c r="H98" s="53"/>
      <c r="I98" s="69">
        <f t="shared" si="20"/>
        <v>50000</v>
      </c>
      <c r="J98" s="69">
        <v>50000</v>
      </c>
      <c r="K98" s="53">
        <f t="shared" si="21"/>
        <v>52100</v>
      </c>
      <c r="L98" s="176">
        <f t="shared" si="22"/>
        <v>54392.4</v>
      </c>
      <c r="O98" s="190"/>
    </row>
    <row r="99" spans="1:15" x14ac:dyDescent="0.3">
      <c r="A99" s="52" t="s">
        <v>1155</v>
      </c>
      <c r="B99" s="52" t="s">
        <v>525</v>
      </c>
      <c r="C99" s="53">
        <v>20000</v>
      </c>
      <c r="D99" s="53"/>
      <c r="E99" s="53">
        <f t="shared" si="19"/>
        <v>20000</v>
      </c>
      <c r="F99" s="53"/>
      <c r="G99" s="53">
        <f t="shared" si="17"/>
        <v>20000</v>
      </c>
      <c r="H99" s="53"/>
      <c r="I99" s="69">
        <f t="shared" si="20"/>
        <v>20000</v>
      </c>
      <c r="J99" s="69">
        <v>20000</v>
      </c>
      <c r="K99" s="53">
        <f t="shared" si="21"/>
        <v>20840</v>
      </c>
      <c r="L99" s="176">
        <f t="shared" si="22"/>
        <v>21756.959999999999</v>
      </c>
      <c r="O99" s="190"/>
    </row>
    <row r="100" spans="1:15" x14ac:dyDescent="0.3">
      <c r="A100" s="52"/>
      <c r="B100" s="52"/>
      <c r="C100" s="53"/>
      <c r="D100" s="53"/>
      <c r="E100" s="53">
        <f t="shared" si="19"/>
        <v>0</v>
      </c>
      <c r="F100" s="53"/>
      <c r="G100" s="53">
        <f t="shared" si="17"/>
        <v>0</v>
      </c>
      <c r="H100" s="53"/>
      <c r="I100" s="69">
        <f t="shared" si="20"/>
        <v>0</v>
      </c>
      <c r="J100" s="69"/>
      <c r="K100" s="53">
        <f t="shared" si="21"/>
        <v>0</v>
      </c>
      <c r="L100" s="176">
        <f t="shared" si="22"/>
        <v>0</v>
      </c>
      <c r="O100" s="190"/>
    </row>
    <row r="101" spans="1:15" x14ac:dyDescent="0.3">
      <c r="A101" s="52"/>
      <c r="B101" s="51" t="s">
        <v>552</v>
      </c>
      <c r="C101" s="53">
        <v>0</v>
      </c>
      <c r="D101" s="53"/>
      <c r="E101" s="53">
        <f t="shared" si="19"/>
        <v>0</v>
      </c>
      <c r="F101" s="53"/>
      <c r="G101" s="53">
        <f t="shared" si="17"/>
        <v>0</v>
      </c>
      <c r="H101" s="53"/>
      <c r="I101" s="69">
        <f t="shared" si="20"/>
        <v>0</v>
      </c>
      <c r="J101" s="69"/>
      <c r="K101" s="53">
        <f t="shared" si="21"/>
        <v>0</v>
      </c>
      <c r="L101" s="176">
        <f t="shared" si="22"/>
        <v>0</v>
      </c>
      <c r="O101" s="190"/>
    </row>
    <row r="102" spans="1:15" x14ac:dyDescent="0.3">
      <c r="A102" s="52" t="s">
        <v>1156</v>
      </c>
      <c r="B102" s="52" t="s">
        <v>488</v>
      </c>
      <c r="C102" s="53">
        <v>30000</v>
      </c>
      <c r="D102" s="53"/>
      <c r="E102" s="53">
        <f t="shared" si="19"/>
        <v>30000</v>
      </c>
      <c r="F102" s="53"/>
      <c r="G102" s="53">
        <f t="shared" si="17"/>
        <v>30000</v>
      </c>
      <c r="H102" s="53"/>
      <c r="I102" s="69">
        <f t="shared" si="20"/>
        <v>30000</v>
      </c>
      <c r="J102" s="69">
        <v>30000</v>
      </c>
      <c r="K102" s="53">
        <f t="shared" si="21"/>
        <v>31260</v>
      </c>
      <c r="L102" s="176">
        <f t="shared" si="22"/>
        <v>32635.440000000002</v>
      </c>
      <c r="O102" s="190"/>
    </row>
    <row r="103" spans="1:15" ht="13.5" thickBot="1" x14ac:dyDescent="0.35">
      <c r="A103" s="56"/>
      <c r="B103" s="56"/>
      <c r="C103" s="69"/>
      <c r="D103" s="69"/>
      <c r="E103" s="53">
        <f t="shared" si="19"/>
        <v>0</v>
      </c>
      <c r="F103" s="69"/>
      <c r="G103" s="53">
        <f t="shared" si="17"/>
        <v>0</v>
      </c>
      <c r="H103" s="69"/>
      <c r="I103" s="69"/>
      <c r="J103" s="69"/>
      <c r="K103" s="53">
        <f t="shared" si="21"/>
        <v>0</v>
      </c>
      <c r="L103" s="176">
        <f t="shared" si="22"/>
        <v>0</v>
      </c>
      <c r="O103" s="190"/>
    </row>
    <row r="104" spans="1:15" ht="13.5" thickBot="1" x14ac:dyDescent="0.35">
      <c r="A104" s="57" t="s">
        <v>674</v>
      </c>
      <c r="B104" s="57"/>
      <c r="C104" s="59">
        <f>SUM(C90:C103)</f>
        <v>3560000</v>
      </c>
      <c r="D104" s="59">
        <f t="shared" ref="D104:L104" si="23">SUM(D90:D103)</f>
        <v>-1300000</v>
      </c>
      <c r="E104" s="59">
        <f t="shared" si="23"/>
        <v>2260000</v>
      </c>
      <c r="F104" s="59">
        <f t="shared" si="23"/>
        <v>0</v>
      </c>
      <c r="G104" s="59">
        <f t="shared" si="23"/>
        <v>2260000</v>
      </c>
      <c r="H104" s="59">
        <f t="shared" si="23"/>
        <v>-1437011.79</v>
      </c>
      <c r="I104" s="59">
        <f t="shared" si="23"/>
        <v>822988.21</v>
      </c>
      <c r="J104" s="59">
        <f t="shared" si="23"/>
        <v>440000</v>
      </c>
      <c r="K104" s="59">
        <f t="shared" si="23"/>
        <v>458480</v>
      </c>
      <c r="L104" s="59">
        <f t="shared" si="23"/>
        <v>478653.12000000005</v>
      </c>
      <c r="M104" s="180"/>
      <c r="N104" s="193"/>
      <c r="O104" s="193"/>
    </row>
    <row r="105" spans="1:15" ht="13.5" thickTop="1" x14ac:dyDescent="0.3">
      <c r="A105" s="61"/>
      <c r="B105" s="61"/>
      <c r="C105" s="62"/>
      <c r="D105" s="62"/>
      <c r="E105" s="53">
        <f t="shared" si="19"/>
        <v>0</v>
      </c>
      <c r="F105" s="62"/>
      <c r="G105" s="53">
        <f t="shared" si="17"/>
        <v>0</v>
      </c>
      <c r="H105" s="62"/>
      <c r="I105" s="62"/>
      <c r="J105" s="62"/>
      <c r="K105" s="62"/>
      <c r="L105" s="184"/>
    </row>
    <row r="106" spans="1:15" x14ac:dyDescent="0.3">
      <c r="A106" s="51" t="s">
        <v>77</v>
      </c>
      <c r="B106" s="52"/>
      <c r="C106" s="53"/>
      <c r="D106" s="53"/>
      <c r="E106" s="53">
        <f t="shared" si="19"/>
        <v>0</v>
      </c>
      <c r="F106" s="53"/>
      <c r="G106" s="53">
        <f t="shared" si="17"/>
        <v>0</v>
      </c>
      <c r="H106" s="53"/>
      <c r="I106" s="53"/>
      <c r="J106" s="53"/>
      <c r="K106" s="53"/>
      <c r="L106" s="176"/>
    </row>
    <row r="107" spans="1:15" x14ac:dyDescent="0.3">
      <c r="A107" s="52"/>
      <c r="B107" s="52" t="s">
        <v>183</v>
      </c>
      <c r="C107" s="53"/>
      <c r="D107" s="53"/>
      <c r="E107" s="53">
        <f t="shared" si="19"/>
        <v>0</v>
      </c>
      <c r="F107" s="53"/>
      <c r="G107" s="53">
        <f t="shared" si="17"/>
        <v>0</v>
      </c>
      <c r="H107" s="53"/>
      <c r="I107" s="69">
        <f t="shared" ref="I107:I115" si="24">G107+H107</f>
        <v>0</v>
      </c>
      <c r="J107" s="69"/>
      <c r="K107" s="53"/>
      <c r="L107" s="176"/>
      <c r="O107" s="190"/>
    </row>
    <row r="108" spans="1:15" x14ac:dyDescent="0.3">
      <c r="A108" s="52"/>
      <c r="B108" s="52" t="s">
        <v>174</v>
      </c>
      <c r="C108" s="53"/>
      <c r="D108" s="53"/>
      <c r="E108" s="53">
        <f t="shared" si="19"/>
        <v>0</v>
      </c>
      <c r="F108" s="53"/>
      <c r="G108" s="53">
        <f t="shared" si="17"/>
        <v>0</v>
      </c>
      <c r="H108" s="53"/>
      <c r="I108" s="69">
        <f t="shared" si="24"/>
        <v>0</v>
      </c>
      <c r="J108" s="69"/>
      <c r="K108" s="53"/>
      <c r="L108" s="176"/>
      <c r="O108" s="190"/>
    </row>
    <row r="109" spans="1:15" x14ac:dyDescent="0.3">
      <c r="A109" s="52"/>
      <c r="B109" s="52" t="s">
        <v>180</v>
      </c>
      <c r="C109" s="53"/>
      <c r="D109" s="53"/>
      <c r="E109" s="53">
        <f t="shared" si="19"/>
        <v>0</v>
      </c>
      <c r="F109" s="53"/>
      <c r="G109" s="53">
        <f t="shared" si="17"/>
        <v>0</v>
      </c>
      <c r="H109" s="53"/>
      <c r="I109" s="69">
        <f t="shared" si="24"/>
        <v>0</v>
      </c>
      <c r="J109" s="69"/>
      <c r="K109" s="53"/>
      <c r="L109" s="176"/>
      <c r="O109" s="190"/>
    </row>
    <row r="110" spans="1:15" x14ac:dyDescent="0.3">
      <c r="A110" s="52"/>
      <c r="B110" s="52" t="s">
        <v>57</v>
      </c>
      <c r="C110" s="53"/>
      <c r="D110" s="53"/>
      <c r="E110" s="53">
        <f t="shared" si="19"/>
        <v>0</v>
      </c>
      <c r="F110" s="53"/>
      <c r="G110" s="53">
        <f t="shared" si="17"/>
        <v>0</v>
      </c>
      <c r="H110" s="53"/>
      <c r="I110" s="69">
        <f t="shared" si="24"/>
        <v>0</v>
      </c>
      <c r="J110" s="69"/>
      <c r="K110" s="53"/>
      <c r="L110" s="176"/>
      <c r="O110" s="190"/>
    </row>
    <row r="111" spans="1:15" x14ac:dyDescent="0.3">
      <c r="A111" s="52"/>
      <c r="B111" s="52" t="s">
        <v>166</v>
      </c>
      <c r="C111" s="53"/>
      <c r="D111" s="53"/>
      <c r="E111" s="53">
        <f t="shared" si="19"/>
        <v>0</v>
      </c>
      <c r="F111" s="53"/>
      <c r="G111" s="53">
        <f t="shared" si="17"/>
        <v>0</v>
      </c>
      <c r="H111" s="53"/>
      <c r="I111" s="69">
        <f t="shared" si="24"/>
        <v>0</v>
      </c>
      <c r="J111" s="69"/>
      <c r="K111" s="53"/>
      <c r="L111" s="176"/>
      <c r="O111" s="190"/>
    </row>
    <row r="112" spans="1:15" x14ac:dyDescent="0.3">
      <c r="A112" s="52"/>
      <c r="B112" s="52" t="s">
        <v>171</v>
      </c>
      <c r="C112" s="53"/>
      <c r="D112" s="53"/>
      <c r="E112" s="53">
        <f t="shared" si="19"/>
        <v>0</v>
      </c>
      <c r="F112" s="53"/>
      <c r="G112" s="53">
        <f t="shared" si="17"/>
        <v>0</v>
      </c>
      <c r="H112" s="53"/>
      <c r="I112" s="69">
        <f t="shared" si="24"/>
        <v>0</v>
      </c>
      <c r="J112" s="69"/>
      <c r="K112" s="53"/>
      <c r="L112" s="176"/>
      <c r="O112" s="190"/>
    </row>
    <row r="113" spans="1:16" x14ac:dyDescent="0.3">
      <c r="A113" s="52"/>
      <c r="B113" s="52" t="s">
        <v>190</v>
      </c>
      <c r="C113" s="53"/>
      <c r="D113" s="53"/>
      <c r="E113" s="53">
        <f t="shared" si="19"/>
        <v>0</v>
      </c>
      <c r="F113" s="53"/>
      <c r="G113" s="53">
        <f t="shared" si="17"/>
        <v>0</v>
      </c>
      <c r="H113" s="53"/>
      <c r="I113" s="69">
        <f t="shared" si="24"/>
        <v>0</v>
      </c>
      <c r="J113" s="69"/>
      <c r="K113" s="53"/>
      <c r="L113" s="176"/>
      <c r="O113" s="190"/>
    </row>
    <row r="114" spans="1:16" x14ac:dyDescent="0.3">
      <c r="A114" s="52"/>
      <c r="B114" s="52" t="s">
        <v>55</v>
      </c>
      <c r="C114" s="53"/>
      <c r="D114" s="53"/>
      <c r="E114" s="53">
        <f t="shared" si="19"/>
        <v>0</v>
      </c>
      <c r="F114" s="53"/>
      <c r="G114" s="53">
        <f t="shared" si="17"/>
        <v>0</v>
      </c>
      <c r="H114" s="53"/>
      <c r="I114" s="69">
        <f t="shared" si="24"/>
        <v>0</v>
      </c>
      <c r="J114" s="69"/>
      <c r="K114" s="53"/>
      <c r="L114" s="176"/>
      <c r="O114" s="190"/>
    </row>
    <row r="115" spans="1:16" ht="13.5" thickBot="1" x14ac:dyDescent="0.35">
      <c r="A115" s="52"/>
      <c r="B115" s="52" t="s">
        <v>177</v>
      </c>
      <c r="C115" s="53">
        <v>0</v>
      </c>
      <c r="D115" s="53"/>
      <c r="E115" s="53">
        <f t="shared" si="19"/>
        <v>0</v>
      </c>
      <c r="F115" s="53"/>
      <c r="G115" s="53">
        <f t="shared" si="17"/>
        <v>0</v>
      </c>
      <c r="H115" s="53"/>
      <c r="I115" s="69">
        <f t="shared" si="24"/>
        <v>0</v>
      </c>
      <c r="J115" s="69"/>
      <c r="K115" s="53"/>
      <c r="L115" s="176"/>
      <c r="O115" s="190"/>
    </row>
    <row r="116" spans="1:16" s="77" customFormat="1" ht="13.5" thickBot="1" x14ac:dyDescent="0.35">
      <c r="A116" s="57" t="s">
        <v>257</v>
      </c>
      <c r="B116" s="57"/>
      <c r="C116" s="59">
        <f>SUM(C107:C115)</f>
        <v>0</v>
      </c>
      <c r="D116" s="59">
        <f t="shared" ref="D116:I116" si="25">SUM(D107:D115)</f>
        <v>0</v>
      </c>
      <c r="E116" s="59">
        <f t="shared" si="25"/>
        <v>0</v>
      </c>
      <c r="F116" s="59"/>
      <c r="G116" s="59">
        <f t="shared" si="25"/>
        <v>0</v>
      </c>
      <c r="H116" s="59">
        <f t="shared" si="25"/>
        <v>0</v>
      </c>
      <c r="I116" s="59">
        <f t="shared" si="25"/>
        <v>0</v>
      </c>
      <c r="J116" s="59"/>
      <c r="K116" s="59"/>
      <c r="L116" s="177"/>
      <c r="M116" s="180"/>
      <c r="N116" s="193"/>
      <c r="O116" s="193"/>
      <c r="P116" s="219"/>
    </row>
    <row r="117" spans="1:16" s="77" customFormat="1" ht="13.5" thickTop="1" x14ac:dyDescent="0.3">
      <c r="A117" s="106"/>
      <c r="B117" s="106"/>
      <c r="C117" s="107"/>
      <c r="D117" s="107"/>
      <c r="E117" s="101"/>
      <c r="F117" s="101"/>
      <c r="G117" s="101">
        <f t="shared" si="17"/>
        <v>0</v>
      </c>
      <c r="H117" s="101"/>
      <c r="I117" s="101"/>
      <c r="J117" s="101"/>
      <c r="K117" s="107"/>
      <c r="L117" s="223"/>
      <c r="M117" s="180"/>
      <c r="N117" s="193"/>
      <c r="O117" s="219"/>
      <c r="P117" s="219"/>
    </row>
    <row r="118" spans="1:16" ht="13.5" thickBot="1" x14ac:dyDescent="0.35">
      <c r="A118" s="84"/>
      <c r="B118" s="84"/>
      <c r="C118" s="114"/>
      <c r="D118" s="114"/>
      <c r="E118" s="114">
        <f t="shared" si="19"/>
        <v>0</v>
      </c>
      <c r="F118" s="114"/>
      <c r="G118" s="114">
        <f t="shared" si="17"/>
        <v>0</v>
      </c>
      <c r="H118" s="114"/>
      <c r="I118" s="114"/>
      <c r="J118" s="114"/>
      <c r="K118" s="114"/>
      <c r="L118" s="209"/>
    </row>
    <row r="119" spans="1:16" s="77" customFormat="1" ht="13.5" thickBot="1" x14ac:dyDescent="0.35">
      <c r="A119" s="70" t="s">
        <v>701</v>
      </c>
      <c r="B119" s="70"/>
      <c r="C119" s="72">
        <f>+C116+C104</f>
        <v>3560000</v>
      </c>
      <c r="D119" s="72">
        <f t="shared" ref="D119:L119" si="26">+D116+D104</f>
        <v>-1300000</v>
      </c>
      <c r="E119" s="72">
        <f t="shared" si="26"/>
        <v>2260000</v>
      </c>
      <c r="F119" s="72">
        <f t="shared" si="26"/>
        <v>0</v>
      </c>
      <c r="G119" s="72">
        <f t="shared" si="26"/>
        <v>2260000</v>
      </c>
      <c r="H119" s="72">
        <f t="shared" si="26"/>
        <v>-1437011.79</v>
      </c>
      <c r="I119" s="72">
        <f t="shared" si="26"/>
        <v>822988.21</v>
      </c>
      <c r="J119" s="72">
        <f t="shared" si="26"/>
        <v>440000</v>
      </c>
      <c r="K119" s="72">
        <f t="shared" si="26"/>
        <v>458480</v>
      </c>
      <c r="L119" s="72">
        <f t="shared" si="26"/>
        <v>478653.12000000005</v>
      </c>
      <c r="M119" s="180"/>
      <c r="N119" s="193"/>
      <c r="O119" s="193"/>
      <c r="P119" s="219"/>
    </row>
    <row r="120" spans="1:16" s="77" customFormat="1" ht="14" thickTop="1" thickBot="1" x14ac:dyDescent="0.35">
      <c r="A120" s="74"/>
      <c r="B120" s="74"/>
      <c r="C120" s="80"/>
      <c r="D120" s="80"/>
      <c r="E120" s="69">
        <f t="shared" si="19"/>
        <v>0</v>
      </c>
      <c r="F120" s="79"/>
      <c r="G120" s="69">
        <f t="shared" si="17"/>
        <v>0</v>
      </c>
      <c r="H120" s="79"/>
      <c r="I120" s="79"/>
      <c r="J120" s="79"/>
      <c r="K120" s="80"/>
      <c r="L120" s="180"/>
      <c r="M120" s="180"/>
      <c r="N120" s="193"/>
      <c r="O120" s="219"/>
      <c r="P120" s="219"/>
    </row>
    <row r="121" spans="1:16" s="77" customFormat="1" ht="13.5" thickBot="1" x14ac:dyDescent="0.35">
      <c r="A121" s="75" t="s">
        <v>866</v>
      </c>
      <c r="B121" s="75"/>
      <c r="C121" s="100">
        <f>C119+C78</f>
        <v>21904767.043875001</v>
      </c>
      <c r="D121" s="100">
        <f>D119+D78</f>
        <v>0</v>
      </c>
      <c r="E121" s="100">
        <f>E119+E78</f>
        <v>21904767.043875001</v>
      </c>
      <c r="F121" s="100">
        <f t="shared" ref="F121:L121" si="27">F119+F78</f>
        <v>14000000</v>
      </c>
      <c r="G121" s="100">
        <f t="shared" si="27"/>
        <v>35904767.043875001</v>
      </c>
      <c r="H121" s="100">
        <f t="shared" si="27"/>
        <v>-829136.35679375182</v>
      </c>
      <c r="I121" s="100">
        <f t="shared" si="27"/>
        <v>35075630.687081255</v>
      </c>
      <c r="J121" s="100">
        <f t="shared" si="27"/>
        <v>16854295.179877494</v>
      </c>
      <c r="K121" s="100">
        <f t="shared" si="27"/>
        <v>17562175.577432349</v>
      </c>
      <c r="L121" s="100">
        <f t="shared" si="27"/>
        <v>18334911.302839372</v>
      </c>
      <c r="M121" s="180"/>
      <c r="N121" s="193"/>
      <c r="O121" s="193"/>
      <c r="P121" s="219"/>
    </row>
    <row r="122" spans="1:16" s="77" customFormat="1" ht="13.5" thickBot="1" x14ac:dyDescent="0.35">
      <c r="A122" s="116" t="s">
        <v>692</v>
      </c>
      <c r="B122" s="157"/>
      <c r="C122" s="158">
        <f t="shared" ref="C122:L122" si="28">C119+C78+C86+C11</f>
        <v>-9485232.9561249986</v>
      </c>
      <c r="D122" s="158">
        <f t="shared" si="28"/>
        <v>0</v>
      </c>
      <c r="E122" s="158">
        <f t="shared" si="28"/>
        <v>-9485232.9561249986</v>
      </c>
      <c r="F122" s="158">
        <f t="shared" si="28"/>
        <v>14000000</v>
      </c>
      <c r="G122" s="158">
        <f t="shared" si="28"/>
        <v>4514767.0438750014</v>
      </c>
      <c r="H122" s="158">
        <f t="shared" si="28"/>
        <v>-829136.35679375182</v>
      </c>
      <c r="I122" s="158">
        <f t="shared" si="28"/>
        <v>3685630.687081255</v>
      </c>
      <c r="J122" s="158">
        <f t="shared" si="28"/>
        <v>-16888704.820122506</v>
      </c>
      <c r="K122" s="158">
        <f t="shared" si="28"/>
        <v>-15704824.422567651</v>
      </c>
      <c r="L122" s="158">
        <f t="shared" si="28"/>
        <v>-16665088.697160628</v>
      </c>
      <c r="M122" s="180"/>
      <c r="N122" s="193"/>
      <c r="O122" s="193"/>
      <c r="P122" s="219"/>
    </row>
    <row r="123" spans="1:16" ht="13.5" thickTop="1" x14ac:dyDescent="0.3"/>
  </sheetData>
  <sortState xmlns:xlrd2="http://schemas.microsoft.com/office/spreadsheetml/2017/richdata2" ref="A15:V38">
    <sortCondition ref="B15:B38"/>
  </sortState>
  <mergeCells count="1">
    <mergeCell ref="A2:L2"/>
  </mergeCells>
  <printOptions gridLines="1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P35"/>
  <sheetViews>
    <sheetView view="pageBreakPreview" zoomScale="80" zoomScaleNormal="100" zoomScaleSheetLayoutView="80" workbookViewId="0">
      <pane xSplit="1" ySplit="2" topLeftCell="B19" activePane="bottomRight" state="frozen"/>
      <selection activeCell="E140" sqref="E140"/>
      <selection pane="topRight" activeCell="E140" sqref="E140"/>
      <selection pane="bottomLeft" activeCell="E140" sqref="E140"/>
      <selection pane="bottomRight" activeCell="E140" sqref="E140"/>
    </sheetView>
  </sheetViews>
  <sheetFormatPr defaultColWidth="9.1796875" defaultRowHeight="14.5" x14ac:dyDescent="0.35"/>
  <cols>
    <col min="1" max="1" width="39.81640625" style="36" bestFit="1" customWidth="1"/>
    <col min="2" max="2" width="21.54296875" style="36" hidden="1" customWidth="1"/>
    <col min="3" max="3" width="18.54296875" style="44" bestFit="1" customWidth="1"/>
    <col min="4" max="9" width="17.26953125" style="44" bestFit="1" customWidth="1"/>
    <col min="10" max="10" width="18.54296875" style="44" bestFit="1" customWidth="1"/>
    <col min="11" max="12" width="16.26953125" style="44" bestFit="1" customWidth="1"/>
    <col min="13" max="13" width="15.1796875" style="36" bestFit="1" customWidth="1"/>
    <col min="14" max="15" width="9.1796875" style="36"/>
    <col min="16" max="16" width="9.1796875" style="19"/>
    <col min="17" max="16384" width="9.1796875" style="36"/>
  </cols>
  <sheetData>
    <row r="1" spans="1:16" ht="19" thickBot="1" x14ac:dyDescent="0.5">
      <c r="A1" s="243" t="s">
        <v>1355</v>
      </c>
      <c r="B1" s="244"/>
      <c r="C1" s="244"/>
      <c r="D1" s="244"/>
      <c r="E1" s="244"/>
      <c r="F1" s="244"/>
      <c r="G1" s="244"/>
      <c r="H1" s="244"/>
      <c r="I1" s="244"/>
      <c r="J1" s="245"/>
    </row>
    <row r="2" spans="1:16" ht="37.5" thickBot="1" x14ac:dyDescent="0.5">
      <c r="A2" s="127" t="s">
        <v>405</v>
      </c>
      <c r="B2" s="127"/>
      <c r="C2" s="128" t="s">
        <v>398</v>
      </c>
      <c r="D2" s="148" t="s">
        <v>399</v>
      </c>
      <c r="E2" s="148" t="s">
        <v>400</v>
      </c>
      <c r="F2" s="148" t="s">
        <v>401</v>
      </c>
      <c r="G2" s="128" t="s">
        <v>402</v>
      </c>
      <c r="H2" s="148" t="s">
        <v>403</v>
      </c>
      <c r="I2" s="148" t="s">
        <v>404</v>
      </c>
      <c r="J2" s="128" t="s">
        <v>78</v>
      </c>
    </row>
    <row r="3" spans="1:16" ht="18.5" x14ac:dyDescent="0.45">
      <c r="A3" s="129"/>
      <c r="B3" s="129"/>
      <c r="C3" s="130"/>
      <c r="D3" s="130"/>
      <c r="E3" s="130"/>
      <c r="F3" s="130"/>
      <c r="G3" s="130"/>
      <c r="H3" s="130"/>
      <c r="I3" s="130"/>
      <c r="J3" s="130"/>
      <c r="P3" s="35"/>
    </row>
    <row r="4" spans="1:16" ht="18.5" x14ac:dyDescent="0.45">
      <c r="A4" s="131" t="s">
        <v>425</v>
      </c>
      <c r="B4" s="131"/>
      <c r="C4" s="132"/>
      <c r="D4" s="132"/>
      <c r="E4" s="132"/>
      <c r="F4" s="132"/>
      <c r="G4" s="132"/>
      <c r="H4" s="132"/>
      <c r="I4" s="132"/>
      <c r="J4" s="132"/>
    </row>
    <row r="5" spans="1:16" ht="18.5" x14ac:dyDescent="0.45">
      <c r="A5" s="133" t="s">
        <v>407</v>
      </c>
      <c r="B5" s="134" t="e">
        <f>FINANCE!#REF!</f>
        <v>#REF!</v>
      </c>
      <c r="C5" s="134">
        <f>FINANCE!J47</f>
        <v>-19748492.566399999</v>
      </c>
      <c r="D5" s="134"/>
      <c r="E5" s="134"/>
      <c r="F5" s="134"/>
      <c r="G5" s="134"/>
      <c r="H5" s="134"/>
      <c r="I5" s="134"/>
      <c r="J5" s="134">
        <f>SUM(C5:I5)</f>
        <v>-19748492.566399999</v>
      </c>
    </row>
    <row r="6" spans="1:16" ht="18.5" x14ac:dyDescent="0.45">
      <c r="A6" s="133" t="s">
        <v>720</v>
      </c>
      <c r="B6" s="134"/>
      <c r="C6" s="134"/>
      <c r="D6" s="134"/>
      <c r="E6" s="134"/>
      <c r="F6" s="134">
        <f>'COMMUNITY SERVICES'!J146</f>
        <v>-100000</v>
      </c>
      <c r="G6" s="134"/>
      <c r="H6" s="134"/>
      <c r="I6" s="134"/>
      <c r="J6" s="134">
        <f t="shared" ref="J6:J10" si="0">SUM(C6:I6)</f>
        <v>-100000</v>
      </c>
      <c r="L6" s="47"/>
    </row>
    <row r="7" spans="1:16" ht="18.5" x14ac:dyDescent="0.45">
      <c r="A7" s="133" t="s">
        <v>406</v>
      </c>
      <c r="B7" s="134" t="e">
        <f>FINANCE!#REF!</f>
        <v>#REF!</v>
      </c>
      <c r="C7" s="134">
        <f>FINANCE!J25</f>
        <v>-533472.70079999999</v>
      </c>
      <c r="D7" s="134"/>
      <c r="E7" s="134"/>
      <c r="F7" s="134"/>
      <c r="G7" s="134"/>
      <c r="H7" s="134"/>
      <c r="I7" s="134"/>
      <c r="J7" s="134">
        <f t="shared" si="0"/>
        <v>-533472.70079999999</v>
      </c>
      <c r="L7" s="47"/>
    </row>
    <row r="8" spans="1:16" ht="18.5" x14ac:dyDescent="0.45">
      <c r="A8" s="133" t="s">
        <v>408</v>
      </c>
      <c r="B8" s="134" t="e">
        <f>FINANCE!#REF!</f>
        <v>#REF!</v>
      </c>
      <c r="C8" s="134">
        <f>FINANCE!J8</f>
        <v>-6500000</v>
      </c>
      <c r="D8" s="134"/>
      <c r="E8" s="134"/>
      <c r="F8" s="134"/>
      <c r="G8" s="134"/>
      <c r="H8" s="134"/>
      <c r="I8" s="134"/>
      <c r="J8" s="134">
        <f t="shared" si="0"/>
        <v>-6500000</v>
      </c>
    </row>
    <row r="9" spans="1:16" ht="18.5" x14ac:dyDescent="0.45">
      <c r="A9" s="133" t="s">
        <v>409</v>
      </c>
      <c r="B9" s="134" t="e">
        <f>FINANCE!#REF!</f>
        <v>#REF!</v>
      </c>
      <c r="C9" s="134">
        <f>FINANCE!J9</f>
        <v>-941852.48</v>
      </c>
      <c r="D9" s="134"/>
      <c r="E9" s="134"/>
      <c r="F9" s="134"/>
      <c r="G9" s="134"/>
      <c r="H9" s="134"/>
      <c r="I9" s="134"/>
      <c r="J9" s="134">
        <f t="shared" si="0"/>
        <v>-941852.48</v>
      </c>
      <c r="M9" s="43"/>
    </row>
    <row r="10" spans="1:16" ht="18.5" x14ac:dyDescent="0.45">
      <c r="A10" s="133" t="s">
        <v>411</v>
      </c>
      <c r="B10" s="134" t="e">
        <f>FINANCE!#REF!</f>
        <v>#REF!</v>
      </c>
      <c r="C10" s="134">
        <f>FINANCE!J14</f>
        <v>-1500</v>
      </c>
      <c r="D10" s="134"/>
      <c r="E10" s="134"/>
      <c r="F10" s="134"/>
      <c r="G10" s="134"/>
      <c r="H10" s="134"/>
      <c r="I10" s="134"/>
      <c r="J10" s="134">
        <f t="shared" si="0"/>
        <v>-1500</v>
      </c>
      <c r="M10" s="43"/>
    </row>
    <row r="11" spans="1:16" ht="18.5" x14ac:dyDescent="0.45">
      <c r="A11" s="133" t="s">
        <v>412</v>
      </c>
      <c r="B11" s="134" t="e">
        <f>FINANCE!#REF!</f>
        <v>#REF!</v>
      </c>
      <c r="C11" s="134">
        <f>FINANCE!J52</f>
        <v>-168366000</v>
      </c>
      <c r="D11" s="134">
        <f>'MUNICIPAL MANAGER'!J10+'MUNICIPAL MANAGER'!J390</f>
        <v>0</v>
      </c>
      <c r="E11" s="134"/>
      <c r="F11" s="134">
        <f>'COMMUNITY SERVICES'!J13+'COMMUNITY SERVICES'!J179</f>
        <v>-1910000</v>
      </c>
      <c r="G11" s="134"/>
      <c r="H11" s="134"/>
      <c r="I11" s="134">
        <f>'TECHNICAL SERVICES'!J9</f>
        <v>-2412000</v>
      </c>
      <c r="J11" s="134">
        <f>SUM(C11:I11)</f>
        <v>-172688000</v>
      </c>
      <c r="M11" s="43"/>
    </row>
    <row r="12" spans="1:16" ht="19" thickBot="1" x14ac:dyDescent="0.5">
      <c r="A12" s="133" t="s">
        <v>413</v>
      </c>
      <c r="B12" s="134" t="e">
        <f>FINANCE!#REF!+FINANCE!#REF!</f>
        <v>#REF!</v>
      </c>
      <c r="C12" s="134">
        <f>FINANCE!J20+FINANCE!J33</f>
        <v>-555500</v>
      </c>
      <c r="D12" s="134"/>
      <c r="E12" s="134"/>
      <c r="F12" s="134"/>
      <c r="G12" s="134"/>
      <c r="H12" s="134"/>
      <c r="I12" s="134"/>
      <c r="J12" s="134">
        <f>SUM(C12:I12)</f>
        <v>-555500</v>
      </c>
    </row>
    <row r="13" spans="1:16" s="45" customFormat="1" ht="19" thickBot="1" x14ac:dyDescent="0.5">
      <c r="A13" s="135" t="s">
        <v>79</v>
      </c>
      <c r="B13" s="136" t="e">
        <f t="shared" ref="B13:J13" si="1">SUM(B5:B12)</f>
        <v>#REF!</v>
      </c>
      <c r="C13" s="136">
        <f t="shared" si="1"/>
        <v>-196646817.74720001</v>
      </c>
      <c r="D13" s="136">
        <f t="shared" si="1"/>
        <v>0</v>
      </c>
      <c r="E13" s="136">
        <f t="shared" si="1"/>
        <v>0</v>
      </c>
      <c r="F13" s="136">
        <f t="shared" si="1"/>
        <v>-2010000</v>
      </c>
      <c r="G13" s="136">
        <f t="shared" si="1"/>
        <v>0</v>
      </c>
      <c r="H13" s="136">
        <f t="shared" si="1"/>
        <v>0</v>
      </c>
      <c r="I13" s="136">
        <f t="shared" si="1"/>
        <v>-2412000</v>
      </c>
      <c r="J13" s="136">
        <f t="shared" si="1"/>
        <v>-201068817.74720001</v>
      </c>
      <c r="K13" s="172"/>
      <c r="L13" s="46"/>
      <c r="P13" s="18"/>
    </row>
    <row r="14" spans="1:16" s="45" customFormat="1" ht="19" thickTop="1" x14ac:dyDescent="0.45">
      <c r="A14" s="137"/>
      <c r="B14" s="137"/>
      <c r="C14" s="138"/>
      <c r="D14" s="138"/>
      <c r="E14" s="138"/>
      <c r="F14" s="138"/>
      <c r="G14" s="138"/>
      <c r="H14" s="138"/>
      <c r="I14" s="138"/>
      <c r="J14" s="138"/>
      <c r="K14" s="46"/>
      <c r="L14" s="126"/>
      <c r="P14" s="18"/>
    </row>
    <row r="15" spans="1:16" s="45" customFormat="1" ht="18.5" x14ac:dyDescent="0.45">
      <c r="A15" s="131" t="s">
        <v>415</v>
      </c>
      <c r="B15" s="131"/>
      <c r="C15" s="132"/>
      <c r="D15" s="132"/>
      <c r="E15" s="132"/>
      <c r="F15" s="132"/>
      <c r="G15" s="132"/>
      <c r="H15" s="132"/>
      <c r="I15" s="132"/>
      <c r="J15" s="132"/>
      <c r="K15" s="46"/>
      <c r="L15" s="46"/>
      <c r="P15" s="18"/>
    </row>
    <row r="16" spans="1:16" ht="18.5" x14ac:dyDescent="0.45">
      <c r="A16" s="133" t="s">
        <v>416</v>
      </c>
      <c r="B16" s="134" t="e">
        <f>FINANCE!#REF!</f>
        <v>#REF!</v>
      </c>
      <c r="C16" s="134">
        <f>FINANCE!J123</f>
        <v>14753421.836350728</v>
      </c>
      <c r="D16" s="134">
        <f>'MUNICIPAL MANAGER'!J443</f>
        <v>13887850.857837522</v>
      </c>
      <c r="E16" s="134">
        <f>'CORPORATE SERVICES'!J67+'CORPORATE SERVICES'!J105+'CORPORATE SERVICES'!IJ64+'CORPORATE SERVICES'!IJ89</f>
        <v>15581693.251466477</v>
      </c>
      <c r="F16" s="134">
        <f>'COMMUNITY SERVICES'!J35+'COMMUNITY SERVICES'!IJ26+'COMMUNITY SERVICES'!J170+'COMMUNITY SERVICES'!J239+'COMMUNITY SERVICES'!J200</f>
        <v>9733864.9768667333</v>
      </c>
      <c r="G16" s="134">
        <f>EDP!J87+EDP!J132</f>
        <v>6697968.7039177781</v>
      </c>
      <c r="H16" s="134"/>
      <c r="I16" s="134">
        <f>'TECHNICAL SERVICES'!J116+'TECHNICAL SERVICES'!J69</f>
        <v>11986675.352405494</v>
      </c>
      <c r="J16" s="134">
        <f>SUM(C16:I16)</f>
        <v>72641474.978844732</v>
      </c>
      <c r="L16" s="46"/>
    </row>
    <row r="17" spans="1:16" ht="18.5" x14ac:dyDescent="0.45">
      <c r="A17" s="133" t="s">
        <v>417</v>
      </c>
      <c r="B17" s="134"/>
      <c r="C17" s="134"/>
      <c r="D17" s="134"/>
      <c r="E17" s="134"/>
      <c r="F17" s="134"/>
      <c r="G17" s="134"/>
      <c r="H17" s="134">
        <f>'EXECUTIVE COUNCIL'!J41</f>
        <v>16896577.908704005</v>
      </c>
      <c r="I17" s="134"/>
      <c r="J17" s="134">
        <f t="shared" ref="J17:J21" si="2">SUM(C17:I17)</f>
        <v>16896577.908704005</v>
      </c>
      <c r="K17" s="44">
        <f>J16+J17</f>
        <v>89538052.887548745</v>
      </c>
      <c r="L17" s="44">
        <f>K17*1/100</f>
        <v>895380.52887548739</v>
      </c>
    </row>
    <row r="18" spans="1:16" ht="18.5" x14ac:dyDescent="0.45">
      <c r="A18" s="133" t="s">
        <v>418</v>
      </c>
      <c r="B18" s="134" t="e">
        <f>FINANCE!#REF!</f>
        <v>#REF!</v>
      </c>
      <c r="C18" s="134">
        <f>FINANCE!J68</f>
        <v>23495629.723543964</v>
      </c>
      <c r="D18" s="134"/>
      <c r="E18" s="134"/>
      <c r="F18" s="134"/>
      <c r="G18" s="134"/>
      <c r="H18" s="134"/>
      <c r="I18" s="134"/>
      <c r="J18" s="134">
        <f t="shared" si="2"/>
        <v>23495629.723543964</v>
      </c>
    </row>
    <row r="19" spans="1:16" ht="18.5" x14ac:dyDescent="0.45">
      <c r="A19" s="133" t="s">
        <v>421</v>
      </c>
      <c r="B19" s="134" t="e">
        <f>FINANCE!#REF!+FINANCE!#REF!</f>
        <v>#REF!</v>
      </c>
      <c r="C19" s="134">
        <f>FINANCE!J138+FINANCE!J101</f>
        <v>12283338.184018923</v>
      </c>
      <c r="D19" s="134">
        <f>'MUNICIPAL MANAGER'!J447-'MUNICIPAL MANAGER'!J443</f>
        <v>25792731.973319203</v>
      </c>
      <c r="E19" s="134">
        <f>'CORPORATE SERVICES'!J48+'CORPORATE SERVICES'!J92+'CORPORATE SERVICES'!J152+'CORPORATE SERVICES'!J176</f>
        <v>25516621.690259334</v>
      </c>
      <c r="F19" s="134">
        <f>'COMMUNITY SERVICES'!J22+'COMMUNITY SERVICES'!J123+'COMMUNITY SERVICES'!J157+'COMMUNITY SERVICES'!J187+'COMMUNITY SERVICES'!J219</f>
        <v>7903261.9887581598</v>
      </c>
      <c r="G19" s="134">
        <f>EDP!J68+EDP!J120</f>
        <v>7082450.0266016126</v>
      </c>
      <c r="H19" s="134">
        <f>'EXECUTIVE COUNCIL'!J18</f>
        <v>2760000</v>
      </c>
      <c r="I19" s="134">
        <f>'TECHNICAL SERVICES'!J46+'TECHNICAL SERVICES'!J104</f>
        <v>4867619.8274719995</v>
      </c>
      <c r="J19" s="134">
        <f>SUM(C19:I19)</f>
        <v>86206023.69042924</v>
      </c>
    </row>
    <row r="20" spans="1:16" ht="18.5" x14ac:dyDescent="0.45">
      <c r="A20" s="139" t="s">
        <v>81</v>
      </c>
      <c r="B20" s="140"/>
      <c r="C20" s="140">
        <f>FINANCE!J127</f>
        <v>750000</v>
      </c>
      <c r="D20" s="140"/>
      <c r="E20" s="140">
        <f>'CORPORATE SERVICES'!J71</f>
        <v>1000000</v>
      </c>
      <c r="F20" s="140">
        <v>0</v>
      </c>
      <c r="G20" s="140"/>
      <c r="H20" s="140"/>
      <c r="I20" s="140">
        <f>'TECHNICAL SERVICES'!J76</f>
        <v>0</v>
      </c>
      <c r="J20" s="134">
        <f>SUM(C20:I20)</f>
        <v>1750000</v>
      </c>
    </row>
    <row r="21" spans="1:16" ht="19" thickBot="1" x14ac:dyDescent="0.5">
      <c r="A21" s="139" t="s">
        <v>422</v>
      </c>
      <c r="B21" s="139"/>
      <c r="C21" s="140"/>
      <c r="D21" s="140"/>
      <c r="E21" s="140"/>
      <c r="F21" s="140"/>
      <c r="G21" s="140"/>
      <c r="H21" s="140"/>
      <c r="I21" s="140"/>
      <c r="J21" s="134">
        <f t="shared" si="2"/>
        <v>0</v>
      </c>
    </row>
    <row r="22" spans="1:16" s="45" customFormat="1" ht="19" thickBot="1" x14ac:dyDescent="0.5">
      <c r="A22" s="135" t="s">
        <v>80</v>
      </c>
      <c r="B22" s="135"/>
      <c r="C22" s="136">
        <f>SUM(C16:C21)</f>
        <v>51282389.743913621</v>
      </c>
      <c r="D22" s="136">
        <f t="shared" ref="D22:J22" si="3">SUM(D16:D21)</f>
        <v>39680582.831156723</v>
      </c>
      <c r="E22" s="136">
        <f t="shared" si="3"/>
        <v>42098314.941725813</v>
      </c>
      <c r="F22" s="136">
        <f t="shared" si="3"/>
        <v>17637126.965624891</v>
      </c>
      <c r="G22" s="136">
        <f t="shared" si="3"/>
        <v>13780418.730519392</v>
      </c>
      <c r="H22" s="136">
        <f t="shared" si="3"/>
        <v>19656577.908704005</v>
      </c>
      <c r="I22" s="136">
        <f>SUM(I16:I21)</f>
        <v>16854295.179877494</v>
      </c>
      <c r="J22" s="136">
        <f t="shared" si="3"/>
        <v>200989706.30152196</v>
      </c>
      <c r="K22" s="46"/>
      <c r="L22" s="46"/>
      <c r="M22" s="174">
        <f>L22+J22-J17-2500000</f>
        <v>181593128.39281794</v>
      </c>
      <c r="P22" s="18"/>
    </row>
    <row r="23" spans="1:16" s="45" customFormat="1" ht="19.5" thickTop="1" thickBot="1" x14ac:dyDescent="0.5">
      <c r="A23" s="141"/>
      <c r="B23" s="141"/>
      <c r="C23" s="142"/>
      <c r="D23" s="142"/>
      <c r="E23" s="142"/>
      <c r="F23" s="142"/>
      <c r="G23" s="142"/>
      <c r="H23" s="142"/>
      <c r="I23" s="142"/>
      <c r="J23" s="142"/>
      <c r="K23" s="46"/>
      <c r="L23" s="46"/>
      <c r="P23" s="18"/>
    </row>
    <row r="24" spans="1:16" s="18" customFormat="1" ht="19" thickBot="1" x14ac:dyDescent="0.5">
      <c r="A24" s="143" t="s">
        <v>668</v>
      </c>
      <c r="B24" s="143"/>
      <c r="C24" s="144">
        <f t="shared" ref="C24:H24" si="4">C22+C13</f>
        <v>-145364428.00328639</v>
      </c>
      <c r="D24" s="144">
        <f t="shared" si="4"/>
        <v>39680582.831156723</v>
      </c>
      <c r="E24" s="144">
        <f>E22+E13</f>
        <v>42098314.941725813</v>
      </c>
      <c r="F24" s="144">
        <f>F22+F13</f>
        <v>15627126.965624891</v>
      </c>
      <c r="G24" s="144">
        <f t="shared" si="4"/>
        <v>13780418.730519392</v>
      </c>
      <c r="H24" s="144">
        <f t="shared" si="4"/>
        <v>19656577.908704005</v>
      </c>
      <c r="I24" s="144">
        <f>I22+I13</f>
        <v>14442295.179877494</v>
      </c>
      <c r="J24" s="144">
        <f>J22+J13</f>
        <v>-79111.445678055286</v>
      </c>
      <c r="K24" s="34"/>
      <c r="L24" s="34"/>
    </row>
    <row r="25" spans="1:16" s="45" customFormat="1" ht="19" thickTop="1" x14ac:dyDescent="0.45">
      <c r="A25" s="137"/>
      <c r="B25" s="137"/>
      <c r="C25" s="138"/>
      <c r="D25" s="138"/>
      <c r="E25" s="138"/>
      <c r="F25" s="138"/>
      <c r="G25" s="138"/>
      <c r="H25" s="138"/>
      <c r="I25" s="138"/>
      <c r="J25" s="138"/>
      <c r="K25" s="46"/>
      <c r="L25" s="46"/>
      <c r="P25" s="18"/>
    </row>
    <row r="26" spans="1:16" ht="18.5" x14ac:dyDescent="0.45">
      <c r="A26" s="133" t="s">
        <v>424</v>
      </c>
      <c r="B26" s="133"/>
      <c r="C26" s="134"/>
      <c r="D26" s="134"/>
      <c r="E26" s="134"/>
      <c r="F26" s="134"/>
      <c r="G26" s="134"/>
      <c r="H26" s="134"/>
      <c r="I26" s="134">
        <f>'TECHNICAL SERVICES'!J86</f>
        <v>-31331000</v>
      </c>
      <c r="J26" s="134">
        <f>SUM(C26:I26)</f>
        <v>-31331000</v>
      </c>
    </row>
    <row r="27" spans="1:16" ht="19" thickBot="1" x14ac:dyDescent="0.5">
      <c r="A27" s="139"/>
      <c r="B27" s="139"/>
      <c r="C27" s="140"/>
      <c r="D27" s="140"/>
      <c r="E27" s="140"/>
      <c r="F27" s="140"/>
      <c r="G27" s="140"/>
      <c r="H27" s="140"/>
      <c r="I27" s="140"/>
      <c r="J27" s="140"/>
    </row>
    <row r="28" spans="1:16" s="45" customFormat="1" ht="19.5" thickTop="1" thickBot="1" x14ac:dyDescent="0.5">
      <c r="A28" s="145" t="s">
        <v>423</v>
      </c>
      <c r="B28" s="145"/>
      <c r="C28" s="146">
        <f>C24+C26</f>
        <v>-145364428.00328639</v>
      </c>
      <c r="D28" s="146">
        <f t="shared" ref="D28:H28" si="5">D24+D26</f>
        <v>39680582.831156723</v>
      </c>
      <c r="E28" s="146">
        <f t="shared" si="5"/>
        <v>42098314.941725813</v>
      </c>
      <c r="F28" s="146">
        <f>F24+F26</f>
        <v>15627126.965624891</v>
      </c>
      <c r="G28" s="146">
        <f t="shared" si="5"/>
        <v>13780418.730519392</v>
      </c>
      <c r="H28" s="146">
        <f t="shared" si="5"/>
        <v>19656577.908704005</v>
      </c>
      <c r="I28" s="146">
        <f>I24+I26</f>
        <v>-16888704.820122506</v>
      </c>
      <c r="J28" s="146">
        <f>J24+J26</f>
        <v>-31410111.445678055</v>
      </c>
      <c r="K28" s="46"/>
      <c r="L28" s="46"/>
      <c r="P28" s="18"/>
    </row>
    <row r="29" spans="1:16" ht="15" thickTop="1" x14ac:dyDescent="0.35"/>
    <row r="31" spans="1:16" s="44" customFormat="1" x14ac:dyDescent="0.35">
      <c r="C31" s="44">
        <v>53436250</v>
      </c>
      <c r="P31" s="230"/>
    </row>
    <row r="32" spans="1:16" s="121" customFormat="1" x14ac:dyDescent="0.35">
      <c r="C32" s="120"/>
      <c r="D32" s="120"/>
      <c r="E32" s="120"/>
      <c r="F32" s="120"/>
      <c r="G32" s="120"/>
      <c r="H32" s="120"/>
      <c r="I32" s="120"/>
      <c r="J32" s="120">
        <v>79112</v>
      </c>
      <c r="K32" s="120"/>
      <c r="L32" s="120"/>
    </row>
    <row r="34" spans="3:16" x14ac:dyDescent="0.35">
      <c r="J34" s="153">
        <f>J32+J24</f>
        <v>0.55432194471359253</v>
      </c>
    </row>
    <row r="35" spans="3:16" s="123" customFormat="1" x14ac:dyDescent="0.35">
      <c r="C35" s="122"/>
      <c r="D35" s="122"/>
      <c r="E35" s="122"/>
      <c r="F35" s="122"/>
      <c r="G35" s="122"/>
      <c r="H35" s="122"/>
      <c r="I35" s="122"/>
      <c r="J35" s="122"/>
      <c r="K35" s="122"/>
      <c r="L35" s="122"/>
      <c r="P35" s="124"/>
    </row>
  </sheetData>
  <mergeCells count="1">
    <mergeCell ref="A1:J1"/>
  </mergeCells>
  <printOptions gridLines="1"/>
  <pageMargins left="0.70866141732283472" right="0.70866141732283472" top="0.74803149606299213" bottom="0.74803149606299213" header="0.31496062992125984" footer="0.31496062992125984"/>
  <pageSetup paperSize="9" scale="72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P42"/>
  <sheetViews>
    <sheetView view="pageBreakPreview" zoomScale="80" zoomScaleNormal="80" zoomScaleSheetLayoutView="80" workbookViewId="0">
      <pane xSplit="1" ySplit="2" topLeftCell="B19" activePane="bottomRight" state="frozen"/>
      <selection activeCell="E140" sqref="E140"/>
      <selection pane="topRight" activeCell="E140" sqref="E140"/>
      <selection pane="bottomLeft" activeCell="E140" sqref="E140"/>
      <selection pane="bottomRight" activeCell="E140" sqref="E140"/>
    </sheetView>
  </sheetViews>
  <sheetFormatPr defaultColWidth="9.1796875" defaultRowHeight="14.5" x14ac:dyDescent="0.35"/>
  <cols>
    <col min="1" max="1" width="39.81640625" style="36" bestFit="1" customWidth="1"/>
    <col min="2" max="2" width="16.26953125" style="36" bestFit="1" customWidth="1"/>
    <col min="3" max="3" width="23.1796875" style="36" bestFit="1" customWidth="1"/>
    <col min="4" max="4" width="22.81640625" style="36" bestFit="1" customWidth="1"/>
    <col min="5" max="5" width="23.7265625" style="36" bestFit="1" customWidth="1"/>
    <col min="6" max="6" width="15.1796875" style="36" bestFit="1" customWidth="1"/>
    <col min="7" max="7" width="21.26953125" style="36" bestFit="1" customWidth="1"/>
    <col min="8" max="8" width="21.7265625" style="36" customWidth="1"/>
    <col min="9" max="9" width="16.26953125" style="36" bestFit="1" customWidth="1"/>
    <col min="10" max="10" width="13.81640625" style="36" bestFit="1" customWidth="1"/>
    <col min="11" max="11" width="15.1796875" style="44" bestFit="1" customWidth="1"/>
    <col min="12" max="12" width="13.08984375" style="44" bestFit="1" customWidth="1"/>
    <col min="13" max="13" width="10.54296875" style="36" bestFit="1" customWidth="1"/>
    <col min="14" max="15" width="9.1796875" style="36"/>
    <col min="16" max="16" width="9.1796875" style="19"/>
    <col min="17" max="16384" width="9.1796875" style="36"/>
  </cols>
  <sheetData>
    <row r="1" spans="1:16" ht="15" thickBot="1" x14ac:dyDescent="0.4">
      <c r="A1" s="246" t="s">
        <v>1525</v>
      </c>
      <c r="B1" s="247"/>
      <c r="C1" s="247"/>
      <c r="D1" s="247"/>
      <c r="E1" s="247"/>
      <c r="F1" s="247"/>
      <c r="G1" s="247"/>
      <c r="H1" s="247"/>
      <c r="I1" s="248"/>
    </row>
    <row r="2" spans="1:16" ht="15" thickBot="1" x14ac:dyDescent="0.4">
      <c r="A2" s="37" t="s">
        <v>405</v>
      </c>
      <c r="B2" s="38" t="s">
        <v>398</v>
      </c>
      <c r="C2" s="38" t="s">
        <v>399</v>
      </c>
      <c r="D2" s="38" t="s">
        <v>400</v>
      </c>
      <c r="E2" s="38" t="s">
        <v>401</v>
      </c>
      <c r="F2" s="38" t="s">
        <v>402</v>
      </c>
      <c r="G2" s="38" t="s">
        <v>403</v>
      </c>
      <c r="H2" s="38" t="s">
        <v>404</v>
      </c>
      <c r="I2" s="38" t="s">
        <v>78</v>
      </c>
    </row>
    <row r="3" spans="1:16" x14ac:dyDescent="0.35">
      <c r="A3" s="39"/>
      <c r="B3" s="40"/>
      <c r="C3" s="40"/>
      <c r="D3" s="40"/>
      <c r="E3" s="40"/>
      <c r="F3" s="40"/>
      <c r="G3" s="40"/>
      <c r="H3" s="40"/>
      <c r="I3" s="40"/>
      <c r="P3" s="35"/>
    </row>
    <row r="4" spans="1:16" x14ac:dyDescent="0.35">
      <c r="A4" s="20" t="s">
        <v>425</v>
      </c>
      <c r="B4" s="21"/>
      <c r="C4" s="21"/>
      <c r="D4" s="21"/>
      <c r="E4" s="21"/>
      <c r="F4" s="21"/>
      <c r="G4" s="21"/>
      <c r="H4" s="21"/>
      <c r="I4" s="21"/>
    </row>
    <row r="5" spans="1:16" x14ac:dyDescent="0.35">
      <c r="A5" s="22" t="s">
        <v>407</v>
      </c>
      <c r="B5" s="23">
        <f>FINANCE!K47</f>
        <v>-20577929.254188798</v>
      </c>
      <c r="C5" s="23"/>
      <c r="D5" s="23"/>
      <c r="E5" s="23"/>
      <c r="F5" s="23"/>
      <c r="G5" s="23"/>
      <c r="H5" s="23"/>
      <c r="I5" s="23">
        <f>SUM(B5:H5)</f>
        <v>-20577929.254188798</v>
      </c>
    </row>
    <row r="6" spans="1:16" x14ac:dyDescent="0.35">
      <c r="A6" s="22" t="s">
        <v>720</v>
      </c>
      <c r="B6" s="23"/>
      <c r="C6" s="23"/>
      <c r="D6" s="23"/>
      <c r="E6" s="23">
        <f>'COMMUNITY SERVICES'!K146</f>
        <v>-104200</v>
      </c>
      <c r="F6" s="23"/>
      <c r="G6" s="23"/>
      <c r="H6" s="23"/>
      <c r="I6" s="23">
        <f>SUM(B6:H6)</f>
        <v>-104200</v>
      </c>
    </row>
    <row r="7" spans="1:16" x14ac:dyDescent="0.35">
      <c r="A7" s="22" t="s">
        <v>406</v>
      </c>
      <c r="B7" s="23">
        <f>FINANCE!K25</f>
        <v>-555878.55423360004</v>
      </c>
      <c r="C7" s="23"/>
      <c r="D7" s="23"/>
      <c r="E7" s="23"/>
      <c r="F7" s="23"/>
      <c r="G7" s="23"/>
      <c r="H7" s="23"/>
      <c r="I7" s="23">
        <f t="shared" ref="I7:I14" si="0">SUM(B7:H7)</f>
        <v>-555878.55423360004</v>
      </c>
    </row>
    <row r="8" spans="1:16" x14ac:dyDescent="0.35">
      <c r="A8" s="22" t="s">
        <v>408</v>
      </c>
      <c r="B8" s="23">
        <f>FINANCE!K8</f>
        <v>-10000000</v>
      </c>
      <c r="C8" s="23"/>
      <c r="D8" s="23"/>
      <c r="E8" s="23"/>
      <c r="F8" s="23"/>
      <c r="G8" s="23"/>
      <c r="H8" s="23"/>
      <c r="I8" s="23">
        <f t="shared" si="0"/>
        <v>-10000000</v>
      </c>
    </row>
    <row r="9" spans="1:16" x14ac:dyDescent="0.35">
      <c r="A9" s="22" t="s">
        <v>409</v>
      </c>
      <c r="B9" s="23">
        <f>FINANCE!K9</f>
        <v>-981410.28416000004</v>
      </c>
      <c r="C9" s="23"/>
      <c r="D9" s="23"/>
      <c r="E9" s="23"/>
      <c r="F9" s="23"/>
      <c r="G9" s="23"/>
      <c r="H9" s="23"/>
      <c r="I9" s="23">
        <f t="shared" si="0"/>
        <v>-981410.28416000004</v>
      </c>
    </row>
    <row r="10" spans="1:16" x14ac:dyDescent="0.35">
      <c r="A10" s="22" t="s">
        <v>410</v>
      </c>
      <c r="B10" s="23"/>
      <c r="C10" s="23"/>
      <c r="D10" s="23"/>
      <c r="E10" s="23"/>
      <c r="F10" s="23"/>
      <c r="G10" s="23"/>
      <c r="H10" s="23"/>
      <c r="I10" s="23">
        <f t="shared" si="0"/>
        <v>0</v>
      </c>
    </row>
    <row r="11" spans="1:16" x14ac:dyDescent="0.35">
      <c r="A11" s="22" t="s">
        <v>411</v>
      </c>
      <c r="B11" s="23">
        <f>FINANCE!K14</f>
        <v>-1563</v>
      </c>
      <c r="C11" s="23"/>
      <c r="D11" s="23"/>
      <c r="E11" s="23"/>
      <c r="F11" s="23"/>
      <c r="G11" s="23"/>
      <c r="H11" s="23"/>
      <c r="I11" s="23">
        <f t="shared" si="0"/>
        <v>-1563</v>
      </c>
    </row>
    <row r="12" spans="1:16" x14ac:dyDescent="0.35">
      <c r="A12" s="22" t="s">
        <v>412</v>
      </c>
      <c r="B12" s="23">
        <f>FINANCE!K52</f>
        <v>-177225000</v>
      </c>
      <c r="C12" s="23">
        <f>'MUNICIPAL MANAGER'!K10+'MUNICIPAL MANAGER'!K389</f>
        <v>0</v>
      </c>
      <c r="D12" s="23"/>
      <c r="E12" s="23">
        <f>'COMMUNITY SERVICES'!K13</f>
        <v>-2004000</v>
      </c>
      <c r="F12" s="23"/>
      <c r="G12" s="23"/>
      <c r="H12" s="23"/>
      <c r="I12" s="23">
        <f t="shared" si="0"/>
        <v>-179229000</v>
      </c>
    </row>
    <row r="13" spans="1:16" x14ac:dyDescent="0.35">
      <c r="A13" s="22" t="s">
        <v>413</v>
      </c>
      <c r="B13" s="23">
        <f>FINANCE!K20+FINANCE!K33</f>
        <v>-578831</v>
      </c>
      <c r="C13" s="23"/>
      <c r="D13" s="23"/>
      <c r="E13" s="23"/>
      <c r="F13" s="23"/>
      <c r="G13" s="23"/>
      <c r="H13" s="23"/>
      <c r="I13" s="23">
        <f t="shared" si="0"/>
        <v>-578831</v>
      </c>
    </row>
    <row r="14" spans="1:16" ht="15" thickBot="1" x14ac:dyDescent="0.4">
      <c r="A14" s="24" t="s">
        <v>414</v>
      </c>
      <c r="B14" s="25"/>
      <c r="C14" s="25"/>
      <c r="D14" s="25"/>
      <c r="E14" s="25"/>
      <c r="F14" s="25"/>
      <c r="G14" s="25"/>
      <c r="H14" s="25"/>
      <c r="I14" s="23">
        <f t="shared" si="0"/>
        <v>0</v>
      </c>
    </row>
    <row r="15" spans="1:16" ht="15" thickBot="1" x14ac:dyDescent="0.4">
      <c r="A15" s="26" t="s">
        <v>79</v>
      </c>
      <c r="B15" s="27">
        <f t="shared" ref="B15:I15" si="1">SUM(B5:B14)</f>
        <v>-209920612.0925824</v>
      </c>
      <c r="C15" s="27">
        <f t="shared" si="1"/>
        <v>0</v>
      </c>
      <c r="D15" s="27">
        <f t="shared" si="1"/>
        <v>0</v>
      </c>
      <c r="E15" s="27">
        <f t="shared" si="1"/>
        <v>-2108200</v>
      </c>
      <c r="F15" s="27">
        <f t="shared" si="1"/>
        <v>0</v>
      </c>
      <c r="G15" s="27">
        <f t="shared" si="1"/>
        <v>0</v>
      </c>
      <c r="H15" s="27">
        <f t="shared" si="1"/>
        <v>0</v>
      </c>
      <c r="I15" s="27">
        <f t="shared" si="1"/>
        <v>-212028812.0925824</v>
      </c>
    </row>
    <row r="16" spans="1:16" ht="15" thickTop="1" x14ac:dyDescent="0.35">
      <c r="A16" s="30"/>
      <c r="B16" s="31"/>
      <c r="C16" s="31"/>
      <c r="D16" s="31"/>
      <c r="E16" s="31"/>
      <c r="F16" s="31"/>
      <c r="G16" s="31"/>
      <c r="H16" s="31"/>
      <c r="I16" s="31"/>
    </row>
    <row r="17" spans="1:13" x14ac:dyDescent="0.35">
      <c r="A17" s="41" t="s">
        <v>415</v>
      </c>
      <c r="B17" s="42"/>
      <c r="C17" s="42"/>
      <c r="D17" s="42"/>
      <c r="E17" s="42"/>
      <c r="F17" s="42"/>
      <c r="G17" s="42"/>
      <c r="H17" s="42"/>
      <c r="I17" s="42"/>
    </row>
    <row r="18" spans="1:13" x14ac:dyDescent="0.35">
      <c r="A18" s="22" t="s">
        <v>416</v>
      </c>
      <c r="B18" s="23">
        <f>FINANCE!K123</f>
        <v>15373065.553477459</v>
      </c>
      <c r="C18" s="23">
        <f>'MUNICIPAL MANAGER'!K443</f>
        <v>14471140.5938667</v>
      </c>
      <c r="D18" s="23">
        <f>'CORPORATE SERVICES'!K67</f>
        <v>16236124.368028069</v>
      </c>
      <c r="E18" s="23">
        <f>'COMMUNITY SERVICES'!K35+'COMMUNITY SERVICES'!K135+'COMMUNITY SERVICES'!K170+'COMMUNITY SERVICES'!K239</f>
        <v>10142687.305895137</v>
      </c>
      <c r="F18" s="23">
        <f>EDP!K87</f>
        <v>6979283.3894823249</v>
      </c>
      <c r="G18" s="23"/>
      <c r="H18" s="23">
        <f>'TECHNICAL SERVICES'!K69+'TECHNICAL SERVICES'!K116</f>
        <v>12490115.717206525</v>
      </c>
      <c r="I18" s="23">
        <f t="shared" ref="I18:I25" si="2">SUM(B18:H18)</f>
        <v>75692416.927956209</v>
      </c>
      <c r="J18" s="43"/>
    </row>
    <row r="19" spans="1:13" x14ac:dyDescent="0.35">
      <c r="A19" s="22" t="s">
        <v>417</v>
      </c>
      <c r="B19" s="23"/>
      <c r="C19" s="23"/>
      <c r="D19" s="23"/>
      <c r="E19" s="23"/>
      <c r="F19" s="23"/>
      <c r="G19" s="23">
        <f>'EXECUTIVE COUNCIL'!K41</f>
        <v>17606234.180869572</v>
      </c>
      <c r="H19" s="23"/>
      <c r="I19" s="23">
        <f t="shared" si="2"/>
        <v>17606234.180869572</v>
      </c>
    </row>
    <row r="20" spans="1:13" x14ac:dyDescent="0.35">
      <c r="A20" s="22" t="s">
        <v>418</v>
      </c>
      <c r="B20" s="23">
        <f>FINANCE!K68</f>
        <v>24424272.67695282</v>
      </c>
      <c r="C20" s="23"/>
      <c r="D20" s="23"/>
      <c r="E20" s="23"/>
      <c r="F20" s="23"/>
      <c r="G20" s="23"/>
      <c r="H20" s="23"/>
      <c r="I20" s="23">
        <f t="shared" si="2"/>
        <v>24424272.67695282</v>
      </c>
    </row>
    <row r="21" spans="1:13" x14ac:dyDescent="0.35">
      <c r="A21" s="22" t="s">
        <v>419</v>
      </c>
      <c r="B21" s="23"/>
      <c r="C21" s="23"/>
      <c r="D21" s="23"/>
      <c r="E21" s="23"/>
      <c r="F21" s="23"/>
      <c r="G21" s="23"/>
      <c r="H21" s="23"/>
      <c r="I21" s="23">
        <f t="shared" si="2"/>
        <v>0</v>
      </c>
      <c r="J21" s="43"/>
    </row>
    <row r="22" spans="1:13" x14ac:dyDescent="0.35">
      <c r="A22" s="22" t="s">
        <v>420</v>
      </c>
      <c r="B22" s="23"/>
      <c r="C22" s="23"/>
      <c r="D22" s="23"/>
      <c r="E22" s="23"/>
      <c r="F22" s="23"/>
      <c r="G22" s="23"/>
      <c r="H22" s="23"/>
      <c r="I22" s="23">
        <f t="shared" si="2"/>
        <v>0</v>
      </c>
    </row>
    <row r="23" spans="1:13" x14ac:dyDescent="0.35">
      <c r="A23" s="22" t="s">
        <v>421</v>
      </c>
      <c r="B23" s="23">
        <f>FINANCE!K138+FINANCE!K101</f>
        <v>12799238.387747718</v>
      </c>
      <c r="C23" s="23">
        <f>'MUNICIPAL MANAGER'!K424+'MUNICIPAL MANAGER'!K383+'MUNICIPAL MANAGER'!K375+'MUNICIPAL MANAGER'!K361+'MUNICIPAL MANAGER'!K306+'MUNICIPAL MANAGER'!K203+'MUNICIPAL MANAGER'!K46</f>
        <v>26876026.716198608</v>
      </c>
      <c r="D23" s="23">
        <f>'CORPORATE SERVICES'!K48+'CORPORATE SERVICES'!K92+'CORPORATE SERVICES'!K152+'CORPORATE SERVICES'!K176</f>
        <v>26588319.801250227</v>
      </c>
      <c r="E23" s="23">
        <f>'COMMUNITY SERVICES'!K219+'COMMUNITY SERVICES'!K187+'COMMUNITY SERVICES'!K157+'COMMUNITY SERVICES'!K123+'COMMUNITY SERVICES'!K22</f>
        <v>8235198.9922860023</v>
      </c>
      <c r="F23" s="23">
        <f>EDP!K68+EDP!K120</f>
        <v>7379912.9277188806</v>
      </c>
      <c r="G23" s="23">
        <f>'EXECUTIVE COUNCIL'!K18</f>
        <v>2875920</v>
      </c>
      <c r="H23" s="23">
        <f>'TECHNICAL SERVICES'!K46+'TECHNICAL SERVICES'!K104</f>
        <v>5072059.8602258237</v>
      </c>
      <c r="I23" s="23">
        <f t="shared" si="2"/>
        <v>89826676.685427263</v>
      </c>
    </row>
    <row r="24" spans="1:13" x14ac:dyDescent="0.35">
      <c r="A24" s="24" t="s">
        <v>81</v>
      </c>
      <c r="B24" s="25">
        <f>FINANCE!K127</f>
        <v>781500</v>
      </c>
      <c r="C24" s="25"/>
      <c r="D24" s="25">
        <f>'CORPORATE SERVICES'!K71</f>
        <v>1042000</v>
      </c>
      <c r="E24" s="25"/>
      <c r="F24" s="25"/>
      <c r="G24" s="25"/>
      <c r="H24" s="25"/>
      <c r="I24" s="23">
        <f t="shared" si="2"/>
        <v>1823500</v>
      </c>
    </row>
    <row r="25" spans="1:13" ht="15" thickBot="1" x14ac:dyDescent="0.4">
      <c r="A25" s="24" t="s">
        <v>422</v>
      </c>
      <c r="B25" s="25"/>
      <c r="C25" s="25"/>
      <c r="D25" s="25"/>
      <c r="E25" s="25"/>
      <c r="F25" s="25"/>
      <c r="G25" s="25"/>
      <c r="H25" s="25"/>
      <c r="I25" s="23">
        <f t="shared" si="2"/>
        <v>0</v>
      </c>
    </row>
    <row r="26" spans="1:13" ht="15" thickBot="1" x14ac:dyDescent="0.4">
      <c r="A26" s="26" t="s">
        <v>80</v>
      </c>
      <c r="B26" s="27">
        <f t="shared" ref="B26:I26" si="3">SUM(B18:B25)</f>
        <v>53378076.618177995</v>
      </c>
      <c r="C26" s="27">
        <f t="shared" si="3"/>
        <v>41347167.310065307</v>
      </c>
      <c r="D26" s="27">
        <f t="shared" si="3"/>
        <v>43866444.169278294</v>
      </c>
      <c r="E26" s="27">
        <f>SUM(E18:E25)</f>
        <v>18377886.298181139</v>
      </c>
      <c r="F26" s="27">
        <f t="shared" si="3"/>
        <v>14359196.317201205</v>
      </c>
      <c r="G26" s="27">
        <f t="shared" si="3"/>
        <v>20482154.180869572</v>
      </c>
      <c r="H26" s="27">
        <f t="shared" si="3"/>
        <v>17562175.577432349</v>
      </c>
      <c r="I26" s="27">
        <f t="shared" si="3"/>
        <v>209373100.47120586</v>
      </c>
      <c r="J26" s="43"/>
      <c r="M26" s="43"/>
    </row>
    <row r="27" spans="1:13" ht="15.5" thickTop="1" thickBot="1" x14ac:dyDescent="0.4">
      <c r="A27" s="30"/>
      <c r="B27" s="31"/>
      <c r="C27" s="31"/>
      <c r="D27" s="31"/>
      <c r="E27" s="31"/>
      <c r="F27" s="31"/>
      <c r="G27" s="31"/>
      <c r="H27" s="31"/>
      <c r="I27" s="31"/>
    </row>
    <row r="28" spans="1:13" ht="15" thickBot="1" x14ac:dyDescent="0.4">
      <c r="A28" s="26" t="s">
        <v>668</v>
      </c>
      <c r="B28" s="27">
        <f t="shared" ref="B28:I28" si="4">B26+B15</f>
        <v>-156542535.47440439</v>
      </c>
      <c r="C28" s="27">
        <f t="shared" si="4"/>
        <v>41347167.310065307</v>
      </c>
      <c r="D28" s="27">
        <f t="shared" si="4"/>
        <v>43866444.169278294</v>
      </c>
      <c r="E28" s="27">
        <f t="shared" si="4"/>
        <v>16269686.298181139</v>
      </c>
      <c r="F28" s="27">
        <f t="shared" si="4"/>
        <v>14359196.317201205</v>
      </c>
      <c r="G28" s="27">
        <f t="shared" si="4"/>
        <v>20482154.180869572</v>
      </c>
      <c r="H28" s="27">
        <f t="shared" si="4"/>
        <v>17562175.577432349</v>
      </c>
      <c r="I28" s="27">
        <f t="shared" si="4"/>
        <v>-2655711.6213765442</v>
      </c>
    </row>
    <row r="29" spans="1:13" ht="15" thickTop="1" x14ac:dyDescent="0.35">
      <c r="A29" s="28"/>
      <c r="B29" s="29"/>
      <c r="C29" s="29"/>
      <c r="D29" s="29"/>
      <c r="E29" s="29"/>
      <c r="F29" s="29"/>
      <c r="G29" s="29"/>
      <c r="H29" s="29"/>
      <c r="I29" s="29"/>
    </row>
    <row r="30" spans="1:13" x14ac:dyDescent="0.35">
      <c r="A30" s="22" t="s">
        <v>424</v>
      </c>
      <c r="B30" s="23"/>
      <c r="C30" s="23"/>
      <c r="D30" s="23"/>
      <c r="E30" s="23"/>
      <c r="F30" s="23"/>
      <c r="G30" s="23"/>
      <c r="H30" s="23">
        <f>'TECHNICAL SERVICES'!K86</f>
        <v>-33267000</v>
      </c>
      <c r="I30" s="23">
        <f>SUM(B30:H30)</f>
        <v>-33267000</v>
      </c>
    </row>
    <row r="31" spans="1:13" ht="15" thickBot="1" x14ac:dyDescent="0.4">
      <c r="A31" s="24"/>
      <c r="B31" s="25"/>
      <c r="C31" s="25"/>
      <c r="D31" s="25"/>
      <c r="E31" s="25"/>
      <c r="F31" s="25"/>
      <c r="G31" s="25"/>
      <c r="H31" s="25"/>
      <c r="I31" s="25"/>
      <c r="J31" s="43"/>
    </row>
    <row r="32" spans="1:13" ht="15.5" thickTop="1" thickBot="1" x14ac:dyDescent="0.4">
      <c r="A32" s="32" t="s">
        <v>423</v>
      </c>
      <c r="B32" s="33">
        <f>B28+B30</f>
        <v>-156542535.47440439</v>
      </c>
      <c r="C32" s="33">
        <f t="shared" ref="C32:I32" si="5">C28+C30</f>
        <v>41347167.310065307</v>
      </c>
      <c r="D32" s="33">
        <f t="shared" si="5"/>
        <v>43866444.169278294</v>
      </c>
      <c r="E32" s="33">
        <f t="shared" si="5"/>
        <v>16269686.298181139</v>
      </c>
      <c r="F32" s="33">
        <f t="shared" si="5"/>
        <v>14359196.317201205</v>
      </c>
      <c r="G32" s="33">
        <f t="shared" si="5"/>
        <v>20482154.180869572</v>
      </c>
      <c r="H32" s="33">
        <f t="shared" si="5"/>
        <v>-15704824.422567651</v>
      </c>
      <c r="I32" s="33">
        <f t="shared" si="5"/>
        <v>-35922711.621376544</v>
      </c>
    </row>
    <row r="33" spans="2:16" ht="15" thickTop="1" x14ac:dyDescent="0.35">
      <c r="B33" s="44"/>
      <c r="C33" s="44"/>
      <c r="D33" s="44"/>
      <c r="E33" s="44"/>
      <c r="F33" s="44"/>
      <c r="G33" s="44"/>
      <c r="H33" s="44"/>
      <c r="I33" s="44"/>
    </row>
    <row r="34" spans="2:16" s="44" customFormat="1" x14ac:dyDescent="0.35">
      <c r="I34" s="44">
        <v>2655712</v>
      </c>
      <c r="P34" s="230"/>
    </row>
    <row r="35" spans="2:16" s="44" customFormat="1" x14ac:dyDescent="0.35">
      <c r="P35" s="230"/>
    </row>
    <row r="36" spans="2:16" s="44" customFormat="1" x14ac:dyDescent="0.35">
      <c r="P36" s="230"/>
    </row>
    <row r="37" spans="2:16" x14ac:dyDescent="0.35">
      <c r="I37" s="43"/>
    </row>
    <row r="38" spans="2:16" x14ac:dyDescent="0.35">
      <c r="C38" s="44"/>
    </row>
    <row r="39" spans="2:16" x14ac:dyDescent="0.35">
      <c r="C39" s="43"/>
    </row>
    <row r="42" spans="2:16" x14ac:dyDescent="0.35">
      <c r="C42" s="43"/>
    </row>
  </sheetData>
  <mergeCells count="1">
    <mergeCell ref="A1:I1"/>
  </mergeCells>
  <printOptions gridLines="1"/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P47"/>
  <sheetViews>
    <sheetView view="pageBreakPreview" zoomScale="80" zoomScaleNormal="80" zoomScaleSheetLayoutView="80" workbookViewId="0">
      <pane xSplit="1" ySplit="2" topLeftCell="B20" activePane="bottomRight" state="frozen"/>
      <selection activeCell="E140" sqref="E140"/>
      <selection pane="topRight" activeCell="E140" sqref="E140"/>
      <selection pane="bottomLeft" activeCell="E140" sqref="E140"/>
      <selection pane="bottomRight" activeCell="E140" sqref="E140"/>
    </sheetView>
  </sheetViews>
  <sheetFormatPr defaultColWidth="9.1796875" defaultRowHeight="14.5" x14ac:dyDescent="0.35"/>
  <cols>
    <col min="1" max="1" width="39.81640625" style="44" bestFit="1" customWidth="1"/>
    <col min="2" max="2" width="16.26953125" style="44" bestFit="1" customWidth="1"/>
    <col min="3" max="3" width="23.1796875" style="44" bestFit="1" customWidth="1"/>
    <col min="4" max="4" width="22.81640625" style="44" bestFit="1" customWidth="1"/>
    <col min="5" max="5" width="23.7265625" style="44" bestFit="1" customWidth="1"/>
    <col min="6" max="6" width="15.1796875" style="44" bestFit="1" customWidth="1"/>
    <col min="7" max="7" width="21.26953125" style="44" bestFit="1" customWidth="1"/>
    <col min="8" max="8" width="21.7265625" style="44" bestFit="1" customWidth="1"/>
    <col min="9" max="9" width="16.26953125" style="44" bestFit="1" customWidth="1"/>
    <col min="10" max="11" width="15.1796875" style="44" bestFit="1" customWidth="1"/>
    <col min="12" max="12" width="13.08984375" style="36" bestFit="1" customWidth="1"/>
    <col min="13" max="13" width="10.54296875" style="36" bestFit="1" customWidth="1"/>
    <col min="14" max="15" width="9.1796875" style="36"/>
    <col min="16" max="16" width="9.1796875" style="19"/>
    <col min="17" max="16384" width="9.1796875" style="36"/>
  </cols>
  <sheetData>
    <row r="1" spans="1:16" ht="15" thickBot="1" x14ac:dyDescent="0.4">
      <c r="A1" s="249" t="s">
        <v>1526</v>
      </c>
      <c r="B1" s="250"/>
      <c r="C1" s="250"/>
      <c r="D1" s="250"/>
      <c r="E1" s="250"/>
      <c r="F1" s="250"/>
      <c r="G1" s="250"/>
      <c r="H1" s="250"/>
      <c r="I1" s="251"/>
    </row>
    <row r="2" spans="1:16" ht="15" thickBot="1" x14ac:dyDescent="0.4">
      <c r="A2" s="38" t="s">
        <v>405</v>
      </c>
      <c r="B2" s="38" t="s">
        <v>398</v>
      </c>
      <c r="C2" s="38" t="s">
        <v>399</v>
      </c>
      <c r="D2" s="38" t="s">
        <v>400</v>
      </c>
      <c r="E2" s="38" t="s">
        <v>401</v>
      </c>
      <c r="F2" s="38" t="s">
        <v>402</v>
      </c>
      <c r="G2" s="38" t="s">
        <v>403</v>
      </c>
      <c r="H2" s="38" t="s">
        <v>404</v>
      </c>
      <c r="I2" s="38" t="s">
        <v>78</v>
      </c>
    </row>
    <row r="3" spans="1:16" x14ac:dyDescent="0.35">
      <c r="A3" s="40"/>
      <c r="B3" s="40"/>
      <c r="C3" s="40"/>
      <c r="D3" s="40"/>
      <c r="E3" s="40"/>
      <c r="F3" s="40"/>
      <c r="G3" s="40"/>
      <c r="H3" s="40"/>
      <c r="I3" s="40"/>
      <c r="P3" s="35"/>
    </row>
    <row r="4" spans="1:16" x14ac:dyDescent="0.35">
      <c r="A4" s="21" t="s">
        <v>425</v>
      </c>
      <c r="B4" s="21"/>
      <c r="C4" s="21"/>
      <c r="D4" s="21"/>
      <c r="E4" s="21"/>
      <c r="F4" s="21"/>
      <c r="G4" s="21"/>
      <c r="H4" s="21"/>
      <c r="I4" s="21"/>
    </row>
    <row r="5" spans="1:16" x14ac:dyDescent="0.35">
      <c r="A5" s="23" t="s">
        <v>407</v>
      </c>
      <c r="B5" s="23">
        <f>FINANCE!L47</f>
        <v>-21483358.141373109</v>
      </c>
      <c r="C5" s="23"/>
      <c r="D5" s="23"/>
      <c r="E5" s="23"/>
      <c r="F5" s="23"/>
      <c r="G5" s="23"/>
      <c r="H5" s="23"/>
      <c r="I5" s="23">
        <f>SUM(B5:H5)</f>
        <v>-21483358.141373109</v>
      </c>
    </row>
    <row r="6" spans="1:16" x14ac:dyDescent="0.35">
      <c r="A6" s="23" t="s">
        <v>717</v>
      </c>
      <c r="B6" s="23"/>
      <c r="C6" s="23"/>
      <c r="D6" s="23"/>
      <c r="E6" s="23">
        <f>'COMMUNITY SERVICES'!L146</f>
        <v>-108784.8</v>
      </c>
      <c r="F6" s="23"/>
      <c r="G6" s="23"/>
      <c r="H6" s="23"/>
      <c r="I6" s="23">
        <f>SUM(B6:H6)</f>
        <v>-108784.8</v>
      </c>
    </row>
    <row r="7" spans="1:16" x14ac:dyDescent="0.35">
      <c r="A7" s="23" t="s">
        <v>406</v>
      </c>
      <c r="B7" s="23">
        <f>FINANCE!L25</f>
        <v>-580337.21061987849</v>
      </c>
      <c r="C7" s="23"/>
      <c r="D7" s="23"/>
      <c r="E7" s="23"/>
      <c r="F7" s="23"/>
      <c r="G7" s="23"/>
      <c r="H7" s="23"/>
      <c r="I7" s="23">
        <f t="shared" ref="I7:I12" si="0">SUM(B7:H7)</f>
        <v>-580337.21061987849</v>
      </c>
    </row>
    <row r="8" spans="1:16" x14ac:dyDescent="0.35">
      <c r="A8" s="23" t="s">
        <v>408</v>
      </c>
      <c r="B8" s="23">
        <f>FINANCE!L8</f>
        <v>-10440000</v>
      </c>
      <c r="C8" s="23"/>
      <c r="D8" s="23"/>
      <c r="E8" s="23"/>
      <c r="F8" s="23"/>
      <c r="G8" s="23"/>
      <c r="H8" s="23"/>
      <c r="I8" s="23">
        <f t="shared" si="0"/>
        <v>-10440000</v>
      </c>
    </row>
    <row r="9" spans="1:16" x14ac:dyDescent="0.35">
      <c r="A9" s="23" t="s">
        <v>409</v>
      </c>
      <c r="B9" s="23">
        <f>FINANCE!L9</f>
        <v>-1024592.3366630401</v>
      </c>
      <c r="C9" s="23"/>
      <c r="D9" s="23"/>
      <c r="E9" s="23"/>
      <c r="F9" s="23"/>
      <c r="G9" s="23"/>
      <c r="H9" s="23"/>
      <c r="I9" s="23">
        <f t="shared" si="0"/>
        <v>-1024592.3366630401</v>
      </c>
    </row>
    <row r="10" spans="1:16" x14ac:dyDescent="0.35">
      <c r="A10" s="23" t="s">
        <v>411</v>
      </c>
      <c r="B10" s="23">
        <f>FINANCE!L14</f>
        <v>-1631.7720000000002</v>
      </c>
      <c r="C10" s="23"/>
      <c r="D10" s="23"/>
      <c r="E10" s="23"/>
      <c r="F10" s="23"/>
      <c r="G10" s="23"/>
      <c r="H10" s="23"/>
      <c r="I10" s="23">
        <f t="shared" si="0"/>
        <v>-1631.7720000000002</v>
      </c>
    </row>
    <row r="11" spans="1:16" x14ac:dyDescent="0.35">
      <c r="A11" s="23" t="s">
        <v>412</v>
      </c>
      <c r="B11" s="23">
        <f>FINANCE!L52</f>
        <v>-173723000</v>
      </c>
      <c r="C11" s="23"/>
      <c r="D11" s="23"/>
      <c r="E11" s="23">
        <f>'COMMUNITY SERVICES'!L13</f>
        <v>-2004000</v>
      </c>
      <c r="F11" s="23"/>
      <c r="G11" s="23"/>
      <c r="H11" s="23"/>
      <c r="I11" s="23">
        <f t="shared" si="0"/>
        <v>-175727000</v>
      </c>
    </row>
    <row r="12" spans="1:16" ht="15" thickBot="1" x14ac:dyDescent="0.4">
      <c r="A12" s="23" t="s">
        <v>413</v>
      </c>
      <c r="B12" s="23">
        <f>FINANCE!L20+FINANCE!L33</f>
        <v>-604299.56400000001</v>
      </c>
      <c r="C12" s="23"/>
      <c r="D12" s="23"/>
      <c r="E12" s="23"/>
      <c r="F12" s="23"/>
      <c r="G12" s="23"/>
      <c r="H12" s="23"/>
      <c r="I12" s="23">
        <f t="shared" si="0"/>
        <v>-604299.56400000001</v>
      </c>
    </row>
    <row r="13" spans="1:16" ht="15" thickBot="1" x14ac:dyDescent="0.4">
      <c r="A13" s="27" t="s">
        <v>79</v>
      </c>
      <c r="B13" s="27">
        <f t="shared" ref="B13:I13" si="1">SUM(B5:B12)</f>
        <v>-207857219.02465603</v>
      </c>
      <c r="C13" s="27">
        <f t="shared" si="1"/>
        <v>0</v>
      </c>
      <c r="D13" s="27">
        <f t="shared" si="1"/>
        <v>0</v>
      </c>
      <c r="E13" s="27">
        <f t="shared" si="1"/>
        <v>-2112784.7999999998</v>
      </c>
      <c r="F13" s="27">
        <f t="shared" si="1"/>
        <v>0</v>
      </c>
      <c r="G13" s="27">
        <f t="shared" si="1"/>
        <v>0</v>
      </c>
      <c r="H13" s="27">
        <f t="shared" si="1"/>
        <v>0</v>
      </c>
      <c r="I13" s="27">
        <f t="shared" si="1"/>
        <v>-209970003.82465604</v>
      </c>
    </row>
    <row r="14" spans="1:16" ht="15" thickTop="1" x14ac:dyDescent="0.35">
      <c r="A14" s="31"/>
      <c r="B14" s="31"/>
      <c r="C14" s="31"/>
      <c r="D14" s="31"/>
      <c r="E14" s="31"/>
      <c r="F14" s="31"/>
      <c r="G14" s="31"/>
      <c r="H14" s="31"/>
      <c r="I14" s="31"/>
    </row>
    <row r="15" spans="1:16" x14ac:dyDescent="0.35">
      <c r="A15" s="42" t="s">
        <v>415</v>
      </c>
      <c r="B15" s="42"/>
      <c r="C15" s="42"/>
      <c r="D15" s="42"/>
      <c r="E15" s="42"/>
      <c r="F15" s="42"/>
      <c r="G15" s="42"/>
      <c r="H15" s="42"/>
      <c r="I15" s="42"/>
    </row>
    <row r="16" spans="1:16" x14ac:dyDescent="0.35">
      <c r="A16" s="23" t="s">
        <v>416</v>
      </c>
      <c r="B16" s="23">
        <f>FINANCE!L123</f>
        <v>16049480.437830467</v>
      </c>
      <c r="C16" s="23">
        <f>'MUNICIPAL MANAGER'!L443</f>
        <v>15107870.779996838</v>
      </c>
      <c r="D16" s="23">
        <f>'CORPORATE SERVICES'!L67</f>
        <v>16950513.840221304</v>
      </c>
      <c r="E16" s="23">
        <f>'COMMUNITY SERVICES'!L35+'COMMUNITY SERVICES'!L135+'COMMUNITY SERVICES'!L170+'COMMUNITY SERVICES'!L239</f>
        <v>10588965.547354527</v>
      </c>
      <c r="F16" s="23">
        <f>EDP!L87</f>
        <v>7286371.8586195502</v>
      </c>
      <c r="G16" s="23"/>
      <c r="H16" s="23">
        <f>'TECHNICAL SERVICES'!L116+'TECHNICAL SERVICES'!L69</f>
        <v>13039680.808763612</v>
      </c>
      <c r="I16" s="23">
        <f t="shared" ref="I16:I23" si="2">SUM(B16:H16)</f>
        <v>79022883.272786289</v>
      </c>
    </row>
    <row r="17" spans="1:16" x14ac:dyDescent="0.35">
      <c r="A17" s="23" t="s">
        <v>417</v>
      </c>
      <c r="B17" s="23"/>
      <c r="C17" s="23"/>
      <c r="D17" s="23"/>
      <c r="E17" s="23"/>
      <c r="F17" s="23"/>
      <c r="G17" s="23">
        <f>'EXECUTIVE COUNCIL'!L41</f>
        <v>18380908.484827828</v>
      </c>
      <c r="H17" s="23"/>
      <c r="I17" s="23">
        <f t="shared" si="2"/>
        <v>18380908.484827828</v>
      </c>
    </row>
    <row r="18" spans="1:16" x14ac:dyDescent="0.35">
      <c r="A18" s="23" t="s">
        <v>418</v>
      </c>
      <c r="B18" s="23">
        <f>FINANCE!L68</f>
        <v>25498940.674738735</v>
      </c>
      <c r="C18" s="23"/>
      <c r="D18" s="23"/>
      <c r="E18" s="23"/>
      <c r="F18" s="23"/>
      <c r="G18" s="23"/>
      <c r="H18" s="23"/>
      <c r="I18" s="23">
        <f t="shared" si="2"/>
        <v>25498940.674738735</v>
      </c>
      <c r="K18" s="47"/>
    </row>
    <row r="19" spans="1:16" x14ac:dyDescent="0.35">
      <c r="A19" s="23" t="s">
        <v>419</v>
      </c>
      <c r="B19" s="23"/>
      <c r="C19" s="23"/>
      <c r="D19" s="23"/>
      <c r="E19" s="23"/>
      <c r="F19" s="23"/>
      <c r="G19" s="23"/>
      <c r="H19" s="23"/>
      <c r="I19" s="23">
        <f t="shared" si="2"/>
        <v>0</v>
      </c>
    </row>
    <row r="20" spans="1:16" x14ac:dyDescent="0.35">
      <c r="A20" s="23" t="s">
        <v>420</v>
      </c>
      <c r="B20" s="23"/>
      <c r="C20" s="23"/>
      <c r="D20" s="23"/>
      <c r="E20" s="23"/>
      <c r="F20" s="23"/>
      <c r="G20" s="23"/>
      <c r="H20" s="23"/>
      <c r="I20" s="23">
        <f t="shared" si="2"/>
        <v>0</v>
      </c>
    </row>
    <row r="21" spans="1:16" x14ac:dyDescent="0.35">
      <c r="A21" s="23" t="s">
        <v>81</v>
      </c>
      <c r="B21" s="23">
        <f>FINANCE!L127</f>
        <v>815886</v>
      </c>
      <c r="C21" s="23"/>
      <c r="D21" s="23">
        <f>'CORPORATE SERVICES'!L71</f>
        <v>1087848</v>
      </c>
      <c r="E21" s="23"/>
      <c r="F21" s="23"/>
      <c r="G21" s="23"/>
      <c r="H21" s="23"/>
      <c r="I21" s="23">
        <f t="shared" si="2"/>
        <v>1903734</v>
      </c>
    </row>
    <row r="22" spans="1:16" x14ac:dyDescent="0.35">
      <c r="A22" s="23" t="s">
        <v>421</v>
      </c>
      <c r="B22" s="23">
        <f>FINANCE!L101+FINANCE!L138</f>
        <v>6617747.2768086186</v>
      </c>
      <c r="C22" s="23">
        <f>'MUNICIPAL MANAGER'!L46+'MUNICIPAL MANAGER'!L203+'MUNICIPAL MANAGER'!L306+'MUNICIPAL MANAGER'!L345+'MUNICIPAL MANAGER'!L375+'MUNICIPAL MANAGER'!L383+'MUNICIPAL MANAGER'!L424</f>
        <v>26084515.424428478</v>
      </c>
      <c r="D22" s="23">
        <f>'CORPORATE SERVICES'!L48+'CORPORATE SERVICES'!L92+'CORPORATE SERVICES'!L152+'CORPORATE SERVICES'!L176</f>
        <v>27758205.87250524</v>
      </c>
      <c r="E22" s="23">
        <f>'COMMUNITY SERVICES'!L22+'COMMUNITY SERVICES'!L123+'COMMUNITY SERVICES'!L157+'COMMUNITY SERVICES'!L219+'COMMUNITY SERVICES'!L187</f>
        <v>8597547.7479465846</v>
      </c>
      <c r="F22" s="23">
        <f>EDP!L68+EDP!L120</f>
        <v>7704629.0965385111</v>
      </c>
      <c r="G22" s="23">
        <f>'EXECUTIVE COUNCIL'!L18</f>
        <v>3002460.48</v>
      </c>
      <c r="H22" s="23">
        <f>'TECHNICAL SERVICES'!L46+'TECHNICAL SERVICES'!L104</f>
        <v>5295230.4940757602</v>
      </c>
      <c r="I22" s="23">
        <f t="shared" si="2"/>
        <v>85060336.392303199</v>
      </c>
      <c r="L22" s="44"/>
    </row>
    <row r="23" spans="1:16" ht="15" thickBot="1" x14ac:dyDescent="0.4">
      <c r="A23" s="25" t="s">
        <v>422</v>
      </c>
      <c r="B23" s="25"/>
      <c r="C23" s="25"/>
      <c r="D23" s="25"/>
      <c r="E23" s="25"/>
      <c r="F23" s="25"/>
      <c r="G23" s="25"/>
      <c r="H23" s="25"/>
      <c r="I23" s="23">
        <f t="shared" si="2"/>
        <v>0</v>
      </c>
    </row>
    <row r="24" spans="1:16" ht="15" thickBot="1" x14ac:dyDescent="0.4">
      <c r="A24" s="27" t="s">
        <v>80</v>
      </c>
      <c r="B24" s="27">
        <f t="shared" ref="B24:I24" si="3">SUM(B16:B23)</f>
        <v>48982054.389377818</v>
      </c>
      <c r="C24" s="27">
        <f t="shared" si="3"/>
        <v>41192386.20442532</v>
      </c>
      <c r="D24" s="27">
        <f t="shared" si="3"/>
        <v>45796567.712726548</v>
      </c>
      <c r="E24" s="27">
        <f t="shared" si="3"/>
        <v>19186513.29530111</v>
      </c>
      <c r="F24" s="27">
        <f t="shared" si="3"/>
        <v>14991000.955158062</v>
      </c>
      <c r="G24" s="27">
        <f t="shared" si="3"/>
        <v>21383368.964827828</v>
      </c>
      <c r="H24" s="27">
        <f t="shared" si="3"/>
        <v>18334911.302839372</v>
      </c>
      <c r="I24" s="27">
        <f t="shared" si="3"/>
        <v>209866802.82465607</v>
      </c>
    </row>
    <row r="25" spans="1:16" ht="15.5" thickTop="1" thickBot="1" x14ac:dyDescent="0.4">
      <c r="A25" s="31"/>
      <c r="B25" s="31"/>
      <c r="C25" s="31"/>
      <c r="D25" s="31"/>
      <c r="E25" s="31"/>
      <c r="F25" s="31"/>
      <c r="G25" s="31"/>
      <c r="H25" s="31"/>
      <c r="I25" s="31"/>
    </row>
    <row r="26" spans="1:16" ht="15" thickBot="1" x14ac:dyDescent="0.4">
      <c r="A26" s="27" t="s">
        <v>668</v>
      </c>
      <c r="B26" s="27">
        <f t="shared" ref="B26:I26" si="4">B24+B13</f>
        <v>-158875164.63527822</v>
      </c>
      <c r="C26" s="27">
        <f t="shared" si="4"/>
        <v>41192386.20442532</v>
      </c>
      <c r="D26" s="27">
        <f t="shared" si="4"/>
        <v>45796567.712726548</v>
      </c>
      <c r="E26" s="27">
        <f t="shared" si="4"/>
        <v>17073728.495301109</v>
      </c>
      <c r="F26" s="27">
        <f t="shared" si="4"/>
        <v>14991000.955158062</v>
      </c>
      <c r="G26" s="27">
        <f t="shared" si="4"/>
        <v>21383368.964827828</v>
      </c>
      <c r="H26" s="27">
        <f t="shared" si="4"/>
        <v>18334911.302839372</v>
      </c>
      <c r="I26" s="27">
        <f t="shared" si="4"/>
        <v>-103200.9999999702</v>
      </c>
      <c r="M26" s="43"/>
    </row>
    <row r="27" spans="1:16" ht="15" thickTop="1" x14ac:dyDescent="0.35">
      <c r="A27" s="29"/>
      <c r="B27" s="29"/>
      <c r="C27" s="29"/>
      <c r="D27" s="29"/>
      <c r="E27" s="29"/>
      <c r="F27" s="29"/>
      <c r="G27" s="29"/>
      <c r="H27" s="29"/>
      <c r="I27" s="29"/>
    </row>
    <row r="28" spans="1:16" x14ac:dyDescent="0.35">
      <c r="A28" s="23" t="s">
        <v>424</v>
      </c>
      <c r="B28" s="23"/>
      <c r="C28" s="23"/>
      <c r="D28" s="23"/>
      <c r="E28" s="23"/>
      <c r="F28" s="23"/>
      <c r="G28" s="23"/>
      <c r="H28" s="23">
        <f>'TECHNICAL SERVICES'!L86</f>
        <v>-35000000</v>
      </c>
      <c r="I28" s="23">
        <f>SUM(B28:H28)</f>
        <v>-35000000</v>
      </c>
    </row>
    <row r="29" spans="1:16" ht="15" thickBot="1" x14ac:dyDescent="0.4">
      <c r="A29" s="25"/>
      <c r="B29" s="25"/>
      <c r="C29" s="25"/>
      <c r="D29" s="25"/>
      <c r="E29" s="25"/>
      <c r="F29" s="25"/>
      <c r="G29" s="25"/>
      <c r="H29" s="25"/>
      <c r="I29" s="25"/>
    </row>
    <row r="30" spans="1:16" ht="15.5" thickTop="1" thickBot="1" x14ac:dyDescent="0.4">
      <c r="A30" s="33" t="s">
        <v>423</v>
      </c>
      <c r="B30" s="33">
        <f>B26+B28</f>
        <v>-158875164.63527822</v>
      </c>
      <c r="C30" s="33">
        <f t="shared" ref="C30:I30" si="5">C26+C28</f>
        <v>41192386.20442532</v>
      </c>
      <c r="D30" s="33">
        <f t="shared" si="5"/>
        <v>45796567.712726548</v>
      </c>
      <c r="E30" s="33">
        <f t="shared" si="5"/>
        <v>17073728.495301109</v>
      </c>
      <c r="F30" s="33">
        <f t="shared" si="5"/>
        <v>14991000.955158062</v>
      </c>
      <c r="G30" s="33">
        <f>G26+G28</f>
        <v>21383368.964827828</v>
      </c>
      <c r="H30" s="33">
        <f t="shared" si="5"/>
        <v>-16665088.697160628</v>
      </c>
      <c r="I30" s="33">
        <f t="shared" si="5"/>
        <v>-35103200.99999997</v>
      </c>
    </row>
    <row r="31" spans="1:16" ht="15" thickTop="1" x14ac:dyDescent="0.35"/>
    <row r="32" spans="1:16" s="44" customFormat="1" x14ac:dyDescent="0.35">
      <c r="P32" s="230"/>
    </row>
    <row r="33" spans="2:16" s="44" customFormat="1" x14ac:dyDescent="0.35">
      <c r="I33" s="44">
        <v>103201</v>
      </c>
      <c r="P33" s="230"/>
    </row>
    <row r="34" spans="2:16" s="44" customFormat="1" x14ac:dyDescent="0.35">
      <c r="B34" s="44">
        <v>50015512</v>
      </c>
      <c r="C34" s="44">
        <v>41192407</v>
      </c>
      <c r="D34" s="44">
        <v>45796563</v>
      </c>
      <c r="E34" s="44">
        <v>19186509</v>
      </c>
      <c r="F34" s="44">
        <v>14990996</v>
      </c>
      <c r="G34" s="44">
        <v>21383368</v>
      </c>
      <c r="H34" s="44">
        <v>18334907</v>
      </c>
      <c r="P34" s="230"/>
    </row>
    <row r="35" spans="2:16" s="44" customFormat="1" x14ac:dyDescent="0.35">
      <c r="I35" s="44">
        <f>I33+I26</f>
        <v>2.9802322387695313E-8</v>
      </c>
      <c r="P35" s="230"/>
    </row>
    <row r="36" spans="2:16" s="44" customFormat="1" x14ac:dyDescent="0.35">
      <c r="P36" s="230"/>
    </row>
    <row r="37" spans="2:16" s="44" customFormat="1" x14ac:dyDescent="0.35">
      <c r="P37" s="230"/>
    </row>
    <row r="38" spans="2:16" s="44" customFormat="1" x14ac:dyDescent="0.35">
      <c r="P38" s="230"/>
    </row>
    <row r="39" spans="2:16" s="44" customFormat="1" x14ac:dyDescent="0.35">
      <c r="P39" s="230"/>
    </row>
    <row r="40" spans="2:16" s="44" customFormat="1" x14ac:dyDescent="0.35">
      <c r="P40" s="230"/>
    </row>
    <row r="41" spans="2:16" s="44" customFormat="1" x14ac:dyDescent="0.35">
      <c r="P41" s="230"/>
    </row>
    <row r="42" spans="2:16" s="44" customFormat="1" x14ac:dyDescent="0.35">
      <c r="P42" s="230"/>
    </row>
    <row r="43" spans="2:16" s="44" customFormat="1" x14ac:dyDescent="0.35">
      <c r="P43" s="230"/>
    </row>
    <row r="44" spans="2:16" s="44" customFormat="1" x14ac:dyDescent="0.35">
      <c r="P44" s="230"/>
    </row>
    <row r="45" spans="2:16" s="44" customFormat="1" x14ac:dyDescent="0.35">
      <c r="P45" s="230"/>
    </row>
    <row r="46" spans="2:16" s="44" customFormat="1" x14ac:dyDescent="0.35">
      <c r="P46" s="230"/>
    </row>
    <row r="47" spans="2:16" s="44" customFormat="1" x14ac:dyDescent="0.35">
      <c r="P47" s="230"/>
    </row>
  </sheetData>
  <mergeCells count="1">
    <mergeCell ref="A1:I1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20</vt:i4>
      </vt:variant>
    </vt:vector>
  </HeadingPairs>
  <TitlesOfParts>
    <vt:vector size="32" baseType="lpstr">
      <vt:lpstr>FINANCE</vt:lpstr>
      <vt:lpstr>MUNICIPAL MANAGER</vt:lpstr>
      <vt:lpstr>COMMUNITY SERVICES</vt:lpstr>
      <vt:lpstr>OPEX WHOLE M</vt:lpstr>
      <vt:lpstr>CORPORATE SERVICES</vt:lpstr>
      <vt:lpstr>EXECUTIVE COUNCIL</vt:lpstr>
      <vt:lpstr>Sheet1</vt:lpstr>
      <vt:lpstr>EDP</vt:lpstr>
      <vt:lpstr>TECHNICAL SERVICES</vt:lpstr>
      <vt:lpstr>2021 2022 DRAFT BUDGET SUMMARY</vt:lpstr>
      <vt:lpstr>2022 2023  OUTER ONE SUMMARY</vt:lpstr>
      <vt:lpstr>2023 2024 OUTER TWO SUMMARY</vt:lpstr>
      <vt:lpstr>'2021 2022 DRAFT BUDGET SUMMARY'!Print_Area</vt:lpstr>
      <vt:lpstr>'2022 2023  OUTER ONE SUMMARY'!Print_Area</vt:lpstr>
      <vt:lpstr>'2023 2024 OUTER TWO SUMMARY'!Print_Area</vt:lpstr>
      <vt:lpstr>'COMMUNITY SERVICES'!Print_Area</vt:lpstr>
      <vt:lpstr>'CORPORATE SERVICES'!Print_Area</vt:lpstr>
      <vt:lpstr>EDP!Print_Area</vt:lpstr>
      <vt:lpstr>'EXECUTIVE COUNCIL'!Print_Area</vt:lpstr>
      <vt:lpstr>FINANCE!Print_Area</vt:lpstr>
      <vt:lpstr>'MUNICIPAL MANAGER'!Print_Area</vt:lpstr>
      <vt:lpstr>'TECHNICAL SERVICES'!Print_Area</vt:lpstr>
      <vt:lpstr>'2021 2022 DRAFT BUDGET SUMMARY'!Print_Titles</vt:lpstr>
      <vt:lpstr>'2022 2023  OUTER ONE SUMMARY'!Print_Titles</vt:lpstr>
      <vt:lpstr>'2023 2024 OUTER TWO SUMMARY'!Print_Titles</vt:lpstr>
      <vt:lpstr>'COMMUNITY SERVICES'!Print_Titles</vt:lpstr>
      <vt:lpstr>'CORPORATE SERVICES'!Print_Titles</vt:lpstr>
      <vt:lpstr>EDP!Print_Titles</vt:lpstr>
      <vt:lpstr>'EXECUTIVE COUNCIL'!Print_Titles</vt:lpstr>
      <vt:lpstr>FINANCE!Print_Titles</vt:lpstr>
      <vt:lpstr>'MUNICIPAL MANAGER'!Print_Titles</vt:lpstr>
      <vt:lpstr>'TECHNICAL SERVICES'!Print_Titles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Sbonelo Ngidi</dc:creator>
  <cp:lastModifiedBy>Sbonelo Ngidi</cp:lastModifiedBy>
  <cp:lastPrinted>2021-03-30T11:16:07Z</cp:lastPrinted>
  <dcterms:created xsi:type="dcterms:W3CDTF">2019-02-07T06:32:22Z</dcterms:created>
  <dcterms:modified xsi:type="dcterms:W3CDTF">2021-04-01T08:51:36Z</dcterms:modified>
</cp:coreProperties>
</file>