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sngidi\Documents\NATIONAL TREASURY 2020 2021\2020 2021 ADJUSTMENT BUDGET DOCUMENTS\"/>
    </mc:Choice>
  </mc:AlternateContent>
  <xr:revisionPtr revIDLastSave="0" documentId="13_ncr:1_{0733D8A0-4EF9-474B-B96A-3B790225FB72}" xr6:coauthVersionLast="46" xr6:coauthVersionMax="46" xr10:uidLastSave="{00000000-0000-0000-0000-000000000000}"/>
  <bookViews>
    <workbookView xWindow="-110" yWindow="-110" windowWidth="19420" windowHeight="10420" tabRatio="749" xr2:uid="{00000000-000D-0000-FFFF-FFFF00000000}"/>
  </bookViews>
  <sheets>
    <sheet name="FINANCE" sheetId="1" r:id="rId1"/>
    <sheet name="MUNICIPAL MANAGER" sheetId="2" r:id="rId2"/>
    <sheet name="COMMUNITY SERVICES" sheetId="3" r:id="rId3"/>
    <sheet name="OPEX WHOLE M" sheetId="11" state="hidden" r:id="rId4"/>
    <sheet name="CORPORATE SERVICES" sheetId="4" r:id="rId5"/>
    <sheet name="EXECUTIVE COUNCIL" sheetId="5" r:id="rId6"/>
    <sheet name="Sheet1" sheetId="12" state="hidden" r:id="rId7"/>
    <sheet name="EDP" sheetId="6" r:id="rId8"/>
    <sheet name="TECHNICAL SERVICES" sheetId="7" r:id="rId9"/>
    <sheet name="2020 2021 ADJU BUDGET SUMMARY" sheetId="8" r:id="rId10"/>
    <sheet name="2021 2022  OUTER ONE SUMMARY" sheetId="9" r:id="rId11"/>
    <sheet name="2022 2023 OUTER TWO SUMMARY" sheetId="10" r:id="rId12"/>
  </sheets>
  <definedNames>
    <definedName name="_xlnm.Print_Area" localSheetId="9">'2020 2021 ADJU BUDGET SUMMARY'!$A$1:$J$28</definedName>
    <definedName name="_xlnm.Print_Area" localSheetId="10">'2021 2022  OUTER ONE SUMMARY'!$A$1:$I$32</definedName>
    <definedName name="_xlnm.Print_Area" localSheetId="11">'2022 2023 OUTER TWO SUMMARY'!$A$1:$I$30</definedName>
    <definedName name="_xlnm.Print_Area" localSheetId="2">'COMMUNITY SERVICES'!$A$2:$K$230</definedName>
    <definedName name="_xlnm.Print_Area" localSheetId="4">'CORPORATE SERVICES'!$A$2:$K$194</definedName>
    <definedName name="_xlnm.Print_Area" localSheetId="7">EDP!$A$2:$K$115</definedName>
    <definedName name="_xlnm.Print_Area" localSheetId="5">'EXECUTIVE COUNCIL'!$A$2:$K$45</definedName>
    <definedName name="_xlnm.Print_Area" localSheetId="0">FINANCE!$A$2:$K$157</definedName>
    <definedName name="_xlnm.Print_Area" localSheetId="1">'MUNICIPAL MANAGER'!$A$2:$K$364</definedName>
    <definedName name="_xlnm.Print_Area" localSheetId="8">'TECHNICAL SERVICES'!$A$2:$K$121</definedName>
    <definedName name="_xlnm.Print_Titles" localSheetId="9">'2020 2021 ADJU BUDGET SUMMARY'!$1:$2</definedName>
    <definedName name="_xlnm.Print_Titles" localSheetId="10">'2021 2022  OUTER ONE SUMMARY'!$1:$2</definedName>
    <definedName name="_xlnm.Print_Titles" localSheetId="11">'2022 2023 OUTER TWO SUMMARY'!$2:$2</definedName>
    <definedName name="_xlnm.Print_Titles" localSheetId="2">'COMMUNITY SERVICES'!$2:$3</definedName>
    <definedName name="_xlnm.Print_Titles" localSheetId="4">'CORPORATE SERVICES'!$2:$3</definedName>
    <definedName name="_xlnm.Print_Titles" localSheetId="7">EDP!$2:$3</definedName>
    <definedName name="_xlnm.Print_Titles" localSheetId="5">'EXECUTIVE COUNCIL'!$2:$3</definedName>
    <definedName name="_xlnm.Print_Titles" localSheetId="0">FINANCE!$2:$3</definedName>
    <definedName name="_xlnm.Print_Titles" localSheetId="1">'MUNICIPAL MANAGER'!$2:$3</definedName>
    <definedName name="_xlnm.Print_Titles" localSheetId="8">'TECHNICAL SERVICES'!$2:$3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2" i="8" l="1"/>
  <c r="L23" i="8"/>
  <c r="Q172" i="4"/>
  <c r="I172" i="4"/>
  <c r="I332" i="2"/>
  <c r="I333" i="2"/>
  <c r="H329" i="2"/>
  <c r="H102" i="3" l="1"/>
  <c r="H100" i="3"/>
  <c r="H84" i="3"/>
  <c r="H47" i="3"/>
  <c r="H44" i="3"/>
  <c r="H262" i="2"/>
  <c r="H96" i="6"/>
  <c r="H92" i="6"/>
  <c r="H48" i="6"/>
  <c r="H18" i="2"/>
  <c r="H17" i="2"/>
  <c r="H16" i="2"/>
  <c r="H15" i="2"/>
  <c r="H14" i="2"/>
  <c r="H70" i="4"/>
  <c r="H266" i="2"/>
  <c r="H267" i="2"/>
  <c r="H278" i="2"/>
  <c r="H276" i="2"/>
  <c r="H275" i="2"/>
  <c r="H27" i="6" l="1"/>
  <c r="H88" i="1"/>
  <c r="H321" i="2"/>
  <c r="H19" i="6"/>
  <c r="H93" i="1"/>
  <c r="H78" i="1" l="1"/>
  <c r="H76" i="1"/>
  <c r="H73" i="1"/>
  <c r="H96" i="1"/>
  <c r="H20" i="7"/>
  <c r="H327" i="2"/>
  <c r="H216" i="2"/>
  <c r="H88" i="6"/>
  <c r="Q7" i="5" l="1"/>
  <c r="P9" i="5"/>
  <c r="H29" i="7"/>
  <c r="P137" i="4"/>
  <c r="P140" i="4"/>
  <c r="H136" i="4"/>
  <c r="H123" i="1"/>
  <c r="H92" i="1"/>
  <c r="H94" i="1"/>
  <c r="H358" i="2"/>
  <c r="H140" i="3"/>
  <c r="H192" i="3"/>
  <c r="H168" i="3"/>
  <c r="H139" i="4"/>
  <c r="H26" i="4"/>
  <c r="H43" i="4"/>
  <c r="H118" i="4" l="1"/>
  <c r="M48" i="4"/>
  <c r="M10" i="1" l="1"/>
  <c r="M14" i="1"/>
  <c r="M20" i="1"/>
  <c r="M25" i="1"/>
  <c r="M33" i="1"/>
  <c r="M47" i="1"/>
  <c r="M52" i="1"/>
  <c r="M68" i="1"/>
  <c r="M101" i="1"/>
  <c r="M123" i="1"/>
  <c r="M127" i="1"/>
  <c r="M138" i="1"/>
  <c r="M153" i="1" s="1"/>
  <c r="M54" i="1" l="1"/>
  <c r="M129" i="1"/>
  <c r="M155" i="1" s="1"/>
  <c r="M157" i="1" l="1"/>
  <c r="P52" i="4" l="1"/>
  <c r="M62" i="6" l="1"/>
  <c r="M81" i="6"/>
  <c r="M99" i="6"/>
  <c r="M113" i="6" s="1"/>
  <c r="M11" i="3"/>
  <c r="M13" i="3"/>
  <c r="M22" i="3"/>
  <c r="M35" i="3"/>
  <c r="M37" i="3" s="1"/>
  <c r="M113" i="3"/>
  <c r="M125" i="3"/>
  <c r="M136" i="3"/>
  <c r="M142" i="3"/>
  <c r="M156" i="3" s="1"/>
  <c r="M164" i="3"/>
  <c r="M172" i="3"/>
  <c r="M185" i="3"/>
  <c r="M204" i="3"/>
  <c r="M224" i="3"/>
  <c r="M18" i="5"/>
  <c r="M43" i="5" s="1"/>
  <c r="M45" i="5" s="1"/>
  <c r="M41" i="5"/>
  <c r="N40" i="5"/>
  <c r="N39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41" i="5" s="1"/>
  <c r="N10" i="5"/>
  <c r="N14" i="5"/>
  <c r="N15" i="5"/>
  <c r="N16" i="5"/>
  <c r="H264" i="2"/>
  <c r="M226" i="3" l="1"/>
  <c r="M83" i="6"/>
  <c r="M115" i="6" s="1"/>
  <c r="M127" i="3"/>
  <c r="M187" i="3"/>
  <c r="M228" i="3" l="1"/>
  <c r="M230" i="3" s="1"/>
  <c r="M10" i="2"/>
  <c r="M26" i="2"/>
  <c r="M40" i="2"/>
  <c r="M158" i="2"/>
  <c r="M173" i="2" s="1"/>
  <c r="M242" i="2"/>
  <c r="M255" i="2"/>
  <c r="M282" i="2"/>
  <c r="M298" i="2" s="1"/>
  <c r="M304" i="2"/>
  <c r="M339" i="2"/>
  <c r="M358" i="2"/>
  <c r="N281" i="2"/>
  <c r="I66" i="1"/>
  <c r="N66" i="1" s="1"/>
  <c r="N45" i="1"/>
  <c r="N43" i="6"/>
  <c r="I41" i="6"/>
  <c r="N41" i="6" s="1"/>
  <c r="I42" i="6"/>
  <c r="N42" i="6" s="1"/>
  <c r="M360" i="2" l="1"/>
  <c r="M42" i="2"/>
  <c r="M257" i="2"/>
  <c r="M362" i="2" l="1"/>
  <c r="M364" i="2" s="1"/>
  <c r="M188" i="4"/>
  <c r="M175" i="4"/>
  <c r="M164" i="4"/>
  <c r="M151" i="4"/>
  <c r="M166" i="4" s="1"/>
  <c r="M91" i="4"/>
  <c r="M71" i="4"/>
  <c r="M73" i="4" s="1"/>
  <c r="M190" i="4" l="1"/>
  <c r="M192" i="4"/>
  <c r="M194" i="4" s="1"/>
  <c r="H48" i="4"/>
  <c r="I27" i="4"/>
  <c r="N27" i="4" s="1"/>
  <c r="M69" i="7" l="1"/>
  <c r="M75" i="7"/>
  <c r="M85" i="7"/>
  <c r="M103" i="7"/>
  <c r="M118" i="7" s="1"/>
  <c r="N102" i="7"/>
  <c r="M46" i="7"/>
  <c r="I39" i="7"/>
  <c r="N39" i="7" s="1"/>
  <c r="I39" i="6"/>
  <c r="N39" i="6" s="1"/>
  <c r="I40" i="6"/>
  <c r="N40" i="6" s="1"/>
  <c r="I148" i="4"/>
  <c r="N148" i="4" s="1"/>
  <c r="L339" i="2"/>
  <c r="J120" i="1"/>
  <c r="K120" i="1" s="1"/>
  <c r="G120" i="1"/>
  <c r="I120" i="1" s="1"/>
  <c r="N120" i="1" s="1"/>
  <c r="L47" i="1"/>
  <c r="M77" i="7" l="1"/>
  <c r="M121" i="7" s="1"/>
  <c r="L115" i="7"/>
  <c r="H115" i="7"/>
  <c r="H103" i="7"/>
  <c r="L103" i="7"/>
  <c r="H85" i="7"/>
  <c r="J85" i="7"/>
  <c r="K85" i="7"/>
  <c r="L85" i="7"/>
  <c r="H75" i="7"/>
  <c r="J75" i="7"/>
  <c r="K75" i="7"/>
  <c r="L75" i="7"/>
  <c r="H69" i="7"/>
  <c r="L69" i="7"/>
  <c r="H46" i="7"/>
  <c r="L46" i="7"/>
  <c r="H9" i="7"/>
  <c r="H11" i="7" s="1"/>
  <c r="J9" i="7"/>
  <c r="J11" i="7" s="1"/>
  <c r="K9" i="7"/>
  <c r="K11" i="7" s="1"/>
  <c r="L9" i="7"/>
  <c r="L11" i="7" s="1"/>
  <c r="I60" i="6"/>
  <c r="N60" i="6" s="1"/>
  <c r="H111" i="6"/>
  <c r="L111" i="6"/>
  <c r="L113" i="6" s="1"/>
  <c r="H99" i="6"/>
  <c r="L99" i="6"/>
  <c r="H81" i="6"/>
  <c r="L81" i="6"/>
  <c r="H62" i="6"/>
  <c r="L62" i="6"/>
  <c r="H41" i="5"/>
  <c r="L41" i="5"/>
  <c r="H18" i="5"/>
  <c r="L18" i="5"/>
  <c r="L104" i="4"/>
  <c r="K188" i="4"/>
  <c r="L188" i="4"/>
  <c r="F188" i="4"/>
  <c r="H188" i="4"/>
  <c r="H175" i="4"/>
  <c r="L175" i="4"/>
  <c r="K164" i="4"/>
  <c r="L164" i="4"/>
  <c r="F164" i="4"/>
  <c r="H164" i="4"/>
  <c r="H151" i="4"/>
  <c r="L151" i="4"/>
  <c r="H91" i="4"/>
  <c r="H106" i="4" s="1"/>
  <c r="L91" i="4"/>
  <c r="H71" i="4"/>
  <c r="L71" i="4"/>
  <c r="H67" i="4"/>
  <c r="L67" i="4"/>
  <c r="L48" i="4"/>
  <c r="N223" i="3"/>
  <c r="I201" i="3"/>
  <c r="N201" i="3" s="1"/>
  <c r="I153" i="3"/>
  <c r="N153" i="3" s="1"/>
  <c r="I152" i="3"/>
  <c r="N152" i="3" s="1"/>
  <c r="I151" i="3"/>
  <c r="N151" i="3" s="1"/>
  <c r="I150" i="3"/>
  <c r="N150" i="3" s="1"/>
  <c r="I149" i="3"/>
  <c r="N149" i="3" s="1"/>
  <c r="I148" i="3"/>
  <c r="N148" i="3" s="1"/>
  <c r="I147" i="3"/>
  <c r="N147" i="3" s="1"/>
  <c r="I146" i="3"/>
  <c r="N146" i="3" s="1"/>
  <c r="I145" i="3"/>
  <c r="N145" i="3" s="1"/>
  <c r="H224" i="3"/>
  <c r="L224" i="3"/>
  <c r="H204" i="3"/>
  <c r="L204" i="3"/>
  <c r="H185" i="3"/>
  <c r="J185" i="3"/>
  <c r="K185" i="3"/>
  <c r="L185" i="3"/>
  <c r="H172" i="3"/>
  <c r="L172" i="3"/>
  <c r="H164" i="3"/>
  <c r="J164" i="3"/>
  <c r="K164" i="3"/>
  <c r="L164" i="3"/>
  <c r="H142" i="3"/>
  <c r="L142" i="3"/>
  <c r="H136" i="3"/>
  <c r="L136" i="3"/>
  <c r="F125" i="3"/>
  <c r="H125" i="3"/>
  <c r="L125" i="3"/>
  <c r="H113" i="3"/>
  <c r="L113" i="3"/>
  <c r="H35" i="3"/>
  <c r="L35" i="3"/>
  <c r="H22" i="3"/>
  <c r="L22" i="3"/>
  <c r="H11" i="3"/>
  <c r="H13" i="3" s="1"/>
  <c r="J11" i="3"/>
  <c r="J13" i="3" s="1"/>
  <c r="K11" i="3"/>
  <c r="K13" i="3" s="1"/>
  <c r="L11" i="3"/>
  <c r="H52" i="1"/>
  <c r="J52" i="1"/>
  <c r="N338" i="2"/>
  <c r="N137" i="1"/>
  <c r="I273" i="2"/>
  <c r="N273" i="2" s="1"/>
  <c r="I28" i="2"/>
  <c r="L358" i="2"/>
  <c r="H339" i="2"/>
  <c r="H304" i="2"/>
  <c r="J304" i="2"/>
  <c r="K304" i="2"/>
  <c r="L304" i="2"/>
  <c r="H282" i="2"/>
  <c r="H298" i="2" s="1"/>
  <c r="L282" i="2"/>
  <c r="L298" i="2" s="1"/>
  <c r="H242" i="2"/>
  <c r="H257" i="2" s="1"/>
  <c r="L242" i="2"/>
  <c r="H158" i="2"/>
  <c r="H173" i="2" s="1"/>
  <c r="L158" i="2"/>
  <c r="L173" i="2" s="1"/>
  <c r="F40" i="2"/>
  <c r="H40" i="2"/>
  <c r="L40" i="2"/>
  <c r="H26" i="2"/>
  <c r="H42" i="2" s="1"/>
  <c r="L26" i="2"/>
  <c r="L42" i="2" s="1"/>
  <c r="F10" i="2"/>
  <c r="H10" i="2"/>
  <c r="J10" i="2"/>
  <c r="K10" i="2"/>
  <c r="L10" i="2"/>
  <c r="E10" i="2"/>
  <c r="L255" i="2"/>
  <c r="L138" i="1"/>
  <c r="L153" i="1" s="1"/>
  <c r="L127" i="1"/>
  <c r="L123" i="1"/>
  <c r="L101" i="1"/>
  <c r="L68" i="1"/>
  <c r="L52" i="1"/>
  <c r="L33" i="1"/>
  <c r="L25" i="1"/>
  <c r="L20" i="1"/>
  <c r="L14" i="1"/>
  <c r="L10" i="1"/>
  <c r="H10" i="1"/>
  <c r="H14" i="1"/>
  <c r="H20" i="1"/>
  <c r="H25" i="1"/>
  <c r="H33" i="1"/>
  <c r="H47" i="1"/>
  <c r="H68" i="1"/>
  <c r="H101" i="1"/>
  <c r="H127" i="1"/>
  <c r="H138" i="1"/>
  <c r="H73" i="4" l="1"/>
  <c r="H37" i="3"/>
  <c r="H127" i="3"/>
  <c r="H187" i="3"/>
  <c r="L187" i="3"/>
  <c r="L13" i="3"/>
  <c r="H118" i="7"/>
  <c r="L257" i="2"/>
  <c r="H43" i="5"/>
  <c r="H45" i="5" s="1"/>
  <c r="H226" i="3"/>
  <c r="H360" i="2"/>
  <c r="H362" i="2" s="1"/>
  <c r="H364" i="2" s="1"/>
  <c r="L106" i="4"/>
  <c r="M120" i="7"/>
  <c r="L118" i="7"/>
  <c r="L77" i="7"/>
  <c r="H77" i="7"/>
  <c r="H113" i="6"/>
  <c r="L83" i="6"/>
  <c r="L115" i="6" s="1"/>
  <c r="H83" i="6"/>
  <c r="L43" i="5"/>
  <c r="L45" i="5" s="1"/>
  <c r="H166" i="4"/>
  <c r="H190" i="4"/>
  <c r="L190" i="4"/>
  <c r="L166" i="4"/>
  <c r="L73" i="4"/>
  <c r="L226" i="3"/>
  <c r="L127" i="3"/>
  <c r="L37" i="3"/>
  <c r="L360" i="2"/>
  <c r="L129" i="1"/>
  <c r="L155" i="1" s="1"/>
  <c r="L54" i="1"/>
  <c r="H54" i="1"/>
  <c r="H129" i="1"/>
  <c r="F164" i="3"/>
  <c r="G162" i="3"/>
  <c r="I162" i="3" s="1"/>
  <c r="N162" i="3" s="1"/>
  <c r="H121" i="7" l="1"/>
  <c r="L362" i="2"/>
  <c r="L364" i="2" s="1"/>
  <c r="H192" i="4"/>
  <c r="H194" i="4" s="1"/>
  <c r="L120" i="7"/>
  <c r="H120" i="7"/>
  <c r="L121" i="7"/>
  <c r="H115" i="6"/>
  <c r="L192" i="4"/>
  <c r="L194" i="4" s="1"/>
  <c r="L157" i="1"/>
  <c r="G31" i="7"/>
  <c r="I31" i="7" s="1"/>
  <c r="N31" i="7" s="1"/>
  <c r="F75" i="7"/>
  <c r="G331" i="2"/>
  <c r="I331" i="2" s="1"/>
  <c r="N331" i="2" s="1"/>
  <c r="G60" i="3"/>
  <c r="I60" i="3" s="1"/>
  <c r="N60" i="3" s="1"/>
  <c r="G61" i="6"/>
  <c r="I61" i="6" s="1"/>
  <c r="N61" i="6" s="1"/>
  <c r="G149" i="4"/>
  <c r="I149" i="4" s="1"/>
  <c r="N149" i="4" s="1"/>
  <c r="G150" i="4"/>
  <c r="I150" i="4" s="1"/>
  <c r="N150" i="4" s="1"/>
  <c r="F172" i="3"/>
  <c r="F204" i="3"/>
  <c r="F224" i="3"/>
  <c r="F185" i="3"/>
  <c r="G168" i="3"/>
  <c r="I168" i="3" s="1"/>
  <c r="N168" i="3" s="1"/>
  <c r="G169" i="3"/>
  <c r="I169" i="3" s="1"/>
  <c r="N169" i="3" s="1"/>
  <c r="G170" i="3"/>
  <c r="I170" i="3" s="1"/>
  <c r="N170" i="3" s="1"/>
  <c r="G203" i="3"/>
  <c r="I203" i="3" s="1"/>
  <c r="N203" i="3" s="1"/>
  <c r="G202" i="3"/>
  <c r="I202" i="3" s="1"/>
  <c r="N202" i="3" s="1"/>
  <c r="F187" i="3" l="1"/>
  <c r="F226" i="3"/>
  <c r="F9" i="7"/>
  <c r="F11" i="7" s="1"/>
  <c r="F46" i="7"/>
  <c r="F69" i="7"/>
  <c r="F85" i="7"/>
  <c r="F103" i="7"/>
  <c r="F118" i="7" s="1"/>
  <c r="G116" i="7"/>
  <c r="G76" i="7"/>
  <c r="G72" i="7"/>
  <c r="G71" i="7"/>
  <c r="G14" i="7"/>
  <c r="G13" i="7"/>
  <c r="G12" i="7"/>
  <c r="F111" i="6"/>
  <c r="F99" i="6"/>
  <c r="F81" i="6"/>
  <c r="F62" i="6"/>
  <c r="G114" i="6"/>
  <c r="G112" i="6"/>
  <c r="G110" i="6"/>
  <c r="I110" i="6" s="1"/>
  <c r="N110" i="6" s="1"/>
  <c r="G109" i="6"/>
  <c r="I109" i="6" s="1"/>
  <c r="N109" i="6" s="1"/>
  <c r="G108" i="6"/>
  <c r="I108" i="6" s="1"/>
  <c r="N108" i="6" s="1"/>
  <c r="G107" i="6"/>
  <c r="I107" i="6" s="1"/>
  <c r="N107" i="6" s="1"/>
  <c r="G106" i="6"/>
  <c r="I106" i="6" s="1"/>
  <c r="N106" i="6" s="1"/>
  <c r="G105" i="6"/>
  <c r="I105" i="6" s="1"/>
  <c r="N105" i="6" s="1"/>
  <c r="G104" i="6"/>
  <c r="I104" i="6" s="1"/>
  <c r="N104" i="6" s="1"/>
  <c r="G103" i="6"/>
  <c r="I103" i="6" s="1"/>
  <c r="N103" i="6" s="1"/>
  <c r="G102" i="6"/>
  <c r="I102" i="6" s="1"/>
  <c r="N102" i="6" s="1"/>
  <c r="G101" i="6"/>
  <c r="G100" i="6"/>
  <c r="G87" i="6"/>
  <c r="G86" i="6"/>
  <c r="G85" i="6"/>
  <c r="G84" i="6"/>
  <c r="G82" i="6"/>
  <c r="F41" i="5"/>
  <c r="F43" i="5" s="1"/>
  <c r="F45" i="5" s="1"/>
  <c r="F18" i="5"/>
  <c r="G44" i="5"/>
  <c r="G42" i="5"/>
  <c r="G20" i="5"/>
  <c r="G19" i="5"/>
  <c r="I111" i="6" l="1"/>
  <c r="N111" i="6"/>
  <c r="F83" i="6"/>
  <c r="F77" i="7"/>
  <c r="F120" i="7" s="1"/>
  <c r="F113" i="6"/>
  <c r="G111" i="6"/>
  <c r="F48" i="4"/>
  <c r="F67" i="4"/>
  <c r="F71" i="4"/>
  <c r="F91" i="4"/>
  <c r="F104" i="4"/>
  <c r="F151" i="4"/>
  <c r="F166" i="4" s="1"/>
  <c r="F175" i="4"/>
  <c r="F190" i="4" s="1"/>
  <c r="F142" i="3"/>
  <c r="F136" i="3"/>
  <c r="F113" i="3"/>
  <c r="F127" i="3" s="1"/>
  <c r="F35" i="3"/>
  <c r="F22" i="3"/>
  <c r="F11" i="3"/>
  <c r="F13" i="3" s="1"/>
  <c r="C255" i="2"/>
  <c r="D255" i="2"/>
  <c r="F255" i="2"/>
  <c r="F282" i="2"/>
  <c r="F298" i="2" s="1"/>
  <c r="F304" i="2"/>
  <c r="F339" i="2"/>
  <c r="F358" i="2"/>
  <c r="F242" i="2"/>
  <c r="F158" i="2"/>
  <c r="F173" i="2" s="1"/>
  <c r="F26" i="2"/>
  <c r="F42" i="2" s="1"/>
  <c r="G20" i="2"/>
  <c r="I20" i="2" s="1"/>
  <c r="N20" i="2" s="1"/>
  <c r="G19" i="2"/>
  <c r="I19" i="2" s="1"/>
  <c r="N19" i="2" s="1"/>
  <c r="G9" i="2"/>
  <c r="F52" i="1"/>
  <c r="K52" i="1"/>
  <c r="F68" i="1"/>
  <c r="F101" i="1"/>
  <c r="F127" i="1"/>
  <c r="F123" i="1"/>
  <c r="F138" i="1"/>
  <c r="F10" i="1"/>
  <c r="F14" i="1"/>
  <c r="F20" i="1"/>
  <c r="F25" i="1"/>
  <c r="F33" i="1"/>
  <c r="F47" i="1"/>
  <c r="F257" i="2" l="1"/>
  <c r="I9" i="2"/>
  <c r="N9" i="2" s="1"/>
  <c r="N10" i="2" s="1"/>
  <c r="G10" i="2"/>
  <c r="F360" i="2"/>
  <c r="F115" i="6"/>
  <c r="F106" i="4"/>
  <c r="F121" i="7"/>
  <c r="F37" i="3"/>
  <c r="F73" i="4"/>
  <c r="F129" i="1"/>
  <c r="F54" i="1"/>
  <c r="F362" i="2" l="1"/>
  <c r="F364" i="2" s="1"/>
  <c r="I10" i="2"/>
  <c r="F192" i="4"/>
  <c r="F194" i="4" s="1"/>
  <c r="J33" i="3"/>
  <c r="C75" i="7" l="1"/>
  <c r="D75" i="7"/>
  <c r="E74" i="7"/>
  <c r="G74" i="7" s="1"/>
  <c r="I74" i="7" s="1"/>
  <c r="N74" i="7" s="1"/>
  <c r="E73" i="7"/>
  <c r="E75" i="7" l="1"/>
  <c r="G73" i="7"/>
  <c r="C35" i="3"/>
  <c r="E335" i="2"/>
  <c r="G335" i="2" s="1"/>
  <c r="I335" i="2" s="1"/>
  <c r="N335" i="2" s="1"/>
  <c r="C304" i="2"/>
  <c r="D304" i="2"/>
  <c r="E303" i="2"/>
  <c r="D10" i="2"/>
  <c r="C10" i="2"/>
  <c r="G75" i="7" l="1"/>
  <c r="I73" i="7"/>
  <c r="N73" i="7" s="1"/>
  <c r="N75" i="7" s="1"/>
  <c r="E304" i="2"/>
  <c r="G303" i="2"/>
  <c r="C12" i="9"/>
  <c r="D185" i="3"/>
  <c r="C185" i="3"/>
  <c r="C164" i="3"/>
  <c r="D164" i="3"/>
  <c r="E163" i="3"/>
  <c r="E164" i="3" s="1"/>
  <c r="G304" i="2" l="1"/>
  <c r="I303" i="2"/>
  <c r="N303" i="2" s="1"/>
  <c r="I75" i="7"/>
  <c r="I20" i="8" s="1"/>
  <c r="G163" i="3"/>
  <c r="D115" i="7"/>
  <c r="E27" i="7"/>
  <c r="G27" i="7" s="1"/>
  <c r="I27" i="7" s="1"/>
  <c r="N27" i="7" s="1"/>
  <c r="G164" i="3" l="1"/>
  <c r="I163" i="3"/>
  <c r="N163" i="3" s="1"/>
  <c r="N164" i="3" s="1"/>
  <c r="I304" i="2"/>
  <c r="D11" i="8" s="1"/>
  <c r="N304" i="2"/>
  <c r="D9" i="7"/>
  <c r="D11" i="7" s="1"/>
  <c r="D46" i="7"/>
  <c r="D69" i="7"/>
  <c r="D85" i="7"/>
  <c r="D103" i="7"/>
  <c r="D118" i="7" s="1"/>
  <c r="E119" i="7"/>
  <c r="G119" i="7" s="1"/>
  <c r="E117" i="7"/>
  <c r="G117" i="7" s="1"/>
  <c r="E114" i="7"/>
  <c r="G114" i="7" s="1"/>
  <c r="I114" i="7" s="1"/>
  <c r="N114" i="7" s="1"/>
  <c r="E113" i="7"/>
  <c r="G113" i="7" s="1"/>
  <c r="I113" i="7" s="1"/>
  <c r="N113" i="7" s="1"/>
  <c r="E112" i="7"/>
  <c r="G112" i="7" s="1"/>
  <c r="I112" i="7" s="1"/>
  <c r="N112" i="7" s="1"/>
  <c r="E111" i="7"/>
  <c r="G111" i="7" s="1"/>
  <c r="I111" i="7" s="1"/>
  <c r="N111" i="7" s="1"/>
  <c r="E110" i="7"/>
  <c r="G110" i="7" s="1"/>
  <c r="I110" i="7" s="1"/>
  <c r="N110" i="7" s="1"/>
  <c r="E109" i="7"/>
  <c r="G109" i="7" s="1"/>
  <c r="I109" i="7" s="1"/>
  <c r="N109" i="7" s="1"/>
  <c r="E108" i="7"/>
  <c r="G108" i="7" s="1"/>
  <c r="I108" i="7" s="1"/>
  <c r="N108" i="7" s="1"/>
  <c r="E107" i="7"/>
  <c r="G107" i="7" s="1"/>
  <c r="I107" i="7" s="1"/>
  <c r="N107" i="7" s="1"/>
  <c r="E106" i="7"/>
  <c r="G106" i="7" s="1"/>
  <c r="E105" i="7"/>
  <c r="G105" i="7" s="1"/>
  <c r="E104" i="7"/>
  <c r="G104" i="7" s="1"/>
  <c r="E102" i="7"/>
  <c r="G102" i="7" s="1"/>
  <c r="E101" i="7"/>
  <c r="G101" i="7" s="1"/>
  <c r="I101" i="7" s="1"/>
  <c r="N101" i="7" s="1"/>
  <c r="E100" i="7"/>
  <c r="G100" i="7" s="1"/>
  <c r="I100" i="7" s="1"/>
  <c r="N100" i="7" s="1"/>
  <c r="E99" i="7"/>
  <c r="G99" i="7" s="1"/>
  <c r="I99" i="7" s="1"/>
  <c r="N99" i="7" s="1"/>
  <c r="E98" i="7"/>
  <c r="G98" i="7" s="1"/>
  <c r="I98" i="7" s="1"/>
  <c r="N98" i="7" s="1"/>
  <c r="E97" i="7"/>
  <c r="G97" i="7" s="1"/>
  <c r="I97" i="7" s="1"/>
  <c r="N97" i="7" s="1"/>
  <c r="E96" i="7"/>
  <c r="G96" i="7" s="1"/>
  <c r="I96" i="7" s="1"/>
  <c r="N96" i="7" s="1"/>
  <c r="E95" i="7"/>
  <c r="G95" i="7" s="1"/>
  <c r="I95" i="7" s="1"/>
  <c r="N95" i="7" s="1"/>
  <c r="E94" i="7"/>
  <c r="G94" i="7" s="1"/>
  <c r="I94" i="7" s="1"/>
  <c r="N94" i="7" s="1"/>
  <c r="E93" i="7"/>
  <c r="G93" i="7" s="1"/>
  <c r="I93" i="7" s="1"/>
  <c r="N93" i="7" s="1"/>
  <c r="E92" i="7"/>
  <c r="G92" i="7" s="1"/>
  <c r="I92" i="7" s="1"/>
  <c r="N92" i="7" s="1"/>
  <c r="E91" i="7"/>
  <c r="G91" i="7" s="1"/>
  <c r="I91" i="7" s="1"/>
  <c r="N91" i="7" s="1"/>
  <c r="E90" i="7"/>
  <c r="G90" i="7" s="1"/>
  <c r="I90" i="7" s="1"/>
  <c r="N90" i="7" s="1"/>
  <c r="E89" i="7"/>
  <c r="G89" i="7" s="1"/>
  <c r="I89" i="7" s="1"/>
  <c r="N89" i="7" s="1"/>
  <c r="E88" i="7"/>
  <c r="G88" i="7" s="1"/>
  <c r="E87" i="7"/>
  <c r="G87" i="7" s="1"/>
  <c r="E86" i="7"/>
  <c r="G86" i="7" s="1"/>
  <c r="E84" i="7"/>
  <c r="G84" i="7" s="1"/>
  <c r="E83" i="7"/>
  <c r="G83" i="7" s="1"/>
  <c r="I83" i="7" s="1"/>
  <c r="N83" i="7" s="1"/>
  <c r="E82" i="7"/>
  <c r="G82" i="7" s="1"/>
  <c r="E81" i="7"/>
  <c r="G81" i="7" s="1"/>
  <c r="E80" i="7"/>
  <c r="G80" i="7" s="1"/>
  <c r="E79" i="7"/>
  <c r="G79" i="7" s="1"/>
  <c r="E78" i="7"/>
  <c r="G78" i="7" s="1"/>
  <c r="E70" i="7"/>
  <c r="G70" i="7" s="1"/>
  <c r="E68" i="7"/>
  <c r="G68" i="7" s="1"/>
  <c r="I68" i="7" s="1"/>
  <c r="N68" i="7" s="1"/>
  <c r="E67" i="7"/>
  <c r="G67" i="7" s="1"/>
  <c r="I67" i="7" s="1"/>
  <c r="N67" i="7" s="1"/>
  <c r="E66" i="7"/>
  <c r="G66" i="7" s="1"/>
  <c r="I66" i="7" s="1"/>
  <c r="N66" i="7" s="1"/>
  <c r="E65" i="7"/>
  <c r="G65" i="7" s="1"/>
  <c r="I65" i="7" s="1"/>
  <c r="N65" i="7" s="1"/>
  <c r="E64" i="7"/>
  <c r="G64" i="7" s="1"/>
  <c r="I64" i="7" s="1"/>
  <c r="N64" i="7" s="1"/>
  <c r="E63" i="7"/>
  <c r="G63" i="7" s="1"/>
  <c r="I63" i="7" s="1"/>
  <c r="N63" i="7" s="1"/>
  <c r="E62" i="7"/>
  <c r="G62" i="7" s="1"/>
  <c r="I62" i="7" s="1"/>
  <c r="N62" i="7" s="1"/>
  <c r="E61" i="7"/>
  <c r="G61" i="7" s="1"/>
  <c r="I61" i="7" s="1"/>
  <c r="N61" i="7" s="1"/>
  <c r="E60" i="7"/>
  <c r="G60" i="7" s="1"/>
  <c r="I60" i="7" s="1"/>
  <c r="N60" i="7" s="1"/>
  <c r="E59" i="7"/>
  <c r="G59" i="7" s="1"/>
  <c r="I59" i="7" s="1"/>
  <c r="N59" i="7" s="1"/>
  <c r="E58" i="7"/>
  <c r="G58" i="7" s="1"/>
  <c r="I58" i="7" s="1"/>
  <c r="N58" i="7" s="1"/>
  <c r="E57" i="7"/>
  <c r="G57" i="7" s="1"/>
  <c r="I57" i="7" s="1"/>
  <c r="N57" i="7" s="1"/>
  <c r="E56" i="7"/>
  <c r="G56" i="7" s="1"/>
  <c r="I56" i="7" s="1"/>
  <c r="N56" i="7" s="1"/>
  <c r="E55" i="7"/>
  <c r="G55" i="7" s="1"/>
  <c r="I55" i="7" s="1"/>
  <c r="N55" i="7" s="1"/>
  <c r="E54" i="7"/>
  <c r="G54" i="7" s="1"/>
  <c r="I54" i="7" s="1"/>
  <c r="N54" i="7" s="1"/>
  <c r="E53" i="7"/>
  <c r="G53" i="7" s="1"/>
  <c r="I53" i="7" s="1"/>
  <c r="N53" i="7" s="1"/>
  <c r="E52" i="7"/>
  <c r="G52" i="7" s="1"/>
  <c r="I52" i="7" s="1"/>
  <c r="N52" i="7" s="1"/>
  <c r="E51" i="7"/>
  <c r="E50" i="7"/>
  <c r="E49" i="7"/>
  <c r="G49" i="7" s="1"/>
  <c r="I49" i="7" s="1"/>
  <c r="N49" i="7" s="1"/>
  <c r="E48" i="7"/>
  <c r="G48" i="7" s="1"/>
  <c r="E47" i="7"/>
  <c r="G47" i="7" s="1"/>
  <c r="E45" i="7"/>
  <c r="G45" i="7" s="1"/>
  <c r="I45" i="7" s="1"/>
  <c r="N45" i="7" s="1"/>
  <c r="E44" i="7"/>
  <c r="G44" i="7" s="1"/>
  <c r="I44" i="7" s="1"/>
  <c r="N44" i="7" s="1"/>
  <c r="E43" i="7"/>
  <c r="G43" i="7" s="1"/>
  <c r="I43" i="7" s="1"/>
  <c r="N43" i="7" s="1"/>
  <c r="E42" i="7"/>
  <c r="G42" i="7" s="1"/>
  <c r="I42" i="7" s="1"/>
  <c r="N42" i="7" s="1"/>
  <c r="E41" i="7"/>
  <c r="G41" i="7" s="1"/>
  <c r="I41" i="7" s="1"/>
  <c r="N41" i="7" s="1"/>
  <c r="E40" i="7"/>
  <c r="G40" i="7" s="1"/>
  <c r="I40" i="7" s="1"/>
  <c r="N40" i="7" s="1"/>
  <c r="E38" i="7"/>
  <c r="G38" i="7" s="1"/>
  <c r="I38" i="7" s="1"/>
  <c r="N38" i="7" s="1"/>
  <c r="E37" i="7"/>
  <c r="G37" i="7" s="1"/>
  <c r="I37" i="7" s="1"/>
  <c r="N37" i="7" s="1"/>
  <c r="E36" i="7"/>
  <c r="G36" i="7" s="1"/>
  <c r="I36" i="7" s="1"/>
  <c r="N36" i="7" s="1"/>
  <c r="E35" i="7"/>
  <c r="G35" i="7" s="1"/>
  <c r="I35" i="7" s="1"/>
  <c r="N35" i="7" s="1"/>
  <c r="E34" i="7"/>
  <c r="G34" i="7" s="1"/>
  <c r="I34" i="7" s="1"/>
  <c r="N34" i="7" s="1"/>
  <c r="E33" i="7"/>
  <c r="G33" i="7" s="1"/>
  <c r="I33" i="7" s="1"/>
  <c r="N33" i="7" s="1"/>
  <c r="E30" i="7"/>
  <c r="G30" i="7" s="1"/>
  <c r="I30" i="7" s="1"/>
  <c r="N30" i="7" s="1"/>
  <c r="E29" i="7"/>
  <c r="G29" i="7" s="1"/>
  <c r="I29" i="7" s="1"/>
  <c r="N29" i="7" s="1"/>
  <c r="E28" i="7"/>
  <c r="G28" i="7" s="1"/>
  <c r="I28" i="7" s="1"/>
  <c r="N28" i="7" s="1"/>
  <c r="E26" i="7"/>
  <c r="G26" i="7" s="1"/>
  <c r="I26" i="7" s="1"/>
  <c r="N26" i="7" s="1"/>
  <c r="E25" i="7"/>
  <c r="G25" i="7" s="1"/>
  <c r="I25" i="7" s="1"/>
  <c r="N25" i="7" s="1"/>
  <c r="E24" i="7"/>
  <c r="G24" i="7" s="1"/>
  <c r="I24" i="7" s="1"/>
  <c r="N24" i="7" s="1"/>
  <c r="E23" i="7"/>
  <c r="G23" i="7" s="1"/>
  <c r="I23" i="7" s="1"/>
  <c r="N23" i="7" s="1"/>
  <c r="E22" i="7"/>
  <c r="G22" i="7" s="1"/>
  <c r="I22" i="7" s="1"/>
  <c r="N22" i="7" s="1"/>
  <c r="E21" i="7"/>
  <c r="G21" i="7" s="1"/>
  <c r="I21" i="7" s="1"/>
  <c r="N21" i="7" s="1"/>
  <c r="E20" i="7"/>
  <c r="G20" i="7" s="1"/>
  <c r="I20" i="7" s="1"/>
  <c r="N20" i="7" s="1"/>
  <c r="E19" i="7"/>
  <c r="G19" i="7" s="1"/>
  <c r="I19" i="7" s="1"/>
  <c r="N19" i="7" s="1"/>
  <c r="E18" i="7"/>
  <c r="G18" i="7" s="1"/>
  <c r="I18" i="7" s="1"/>
  <c r="N18" i="7" s="1"/>
  <c r="E17" i="7"/>
  <c r="G17" i="7" s="1"/>
  <c r="I17" i="7" s="1"/>
  <c r="N17" i="7" s="1"/>
  <c r="E16" i="7"/>
  <c r="G16" i="7" s="1"/>
  <c r="I16" i="7" s="1"/>
  <c r="N16" i="7" s="1"/>
  <c r="E15" i="7"/>
  <c r="G15" i="7" s="1"/>
  <c r="I15" i="7" s="1"/>
  <c r="N15" i="7" s="1"/>
  <c r="E8" i="7"/>
  <c r="D99" i="6"/>
  <c r="D113" i="6" s="1"/>
  <c r="E98" i="6"/>
  <c r="G98" i="6" s="1"/>
  <c r="I98" i="6" s="1"/>
  <c r="N98" i="6" s="1"/>
  <c r="E97" i="6"/>
  <c r="G97" i="6" s="1"/>
  <c r="I97" i="6" s="1"/>
  <c r="N97" i="6" s="1"/>
  <c r="E96" i="6"/>
  <c r="G96" i="6" s="1"/>
  <c r="I96" i="6" s="1"/>
  <c r="N96" i="6" s="1"/>
  <c r="E95" i="6"/>
  <c r="G95" i="6" s="1"/>
  <c r="I95" i="6" s="1"/>
  <c r="N95" i="6" s="1"/>
  <c r="E94" i="6"/>
  <c r="G94" i="6" s="1"/>
  <c r="I94" i="6" s="1"/>
  <c r="N94" i="6" s="1"/>
  <c r="E93" i="6"/>
  <c r="G93" i="6" s="1"/>
  <c r="I93" i="6" s="1"/>
  <c r="N93" i="6" s="1"/>
  <c r="E92" i="6"/>
  <c r="G92" i="6" s="1"/>
  <c r="I92" i="6" s="1"/>
  <c r="N92" i="6" s="1"/>
  <c r="E91" i="6"/>
  <c r="G91" i="6" s="1"/>
  <c r="I91" i="6" s="1"/>
  <c r="N91" i="6" s="1"/>
  <c r="E90" i="6"/>
  <c r="G90" i="6" s="1"/>
  <c r="I90" i="6" s="1"/>
  <c r="N90" i="6" s="1"/>
  <c r="E89" i="6"/>
  <c r="G89" i="6" s="1"/>
  <c r="I89" i="6" s="1"/>
  <c r="N89" i="6" s="1"/>
  <c r="E88" i="6"/>
  <c r="G88" i="6" s="1"/>
  <c r="I88" i="6" s="1"/>
  <c r="N88" i="6" s="1"/>
  <c r="D81" i="6"/>
  <c r="D83" i="6" s="1"/>
  <c r="E9" i="6"/>
  <c r="E10" i="6"/>
  <c r="G10" i="6" s="1"/>
  <c r="I10" i="6" s="1"/>
  <c r="N10" i="6" s="1"/>
  <c r="E11" i="6"/>
  <c r="G11" i="6" s="1"/>
  <c r="I11" i="6" s="1"/>
  <c r="N11" i="6" s="1"/>
  <c r="E12" i="6"/>
  <c r="G12" i="6" s="1"/>
  <c r="I12" i="6" s="1"/>
  <c r="N12" i="6" s="1"/>
  <c r="E13" i="6"/>
  <c r="G13" i="6" s="1"/>
  <c r="I13" i="6" s="1"/>
  <c r="N13" i="6" s="1"/>
  <c r="E14" i="6"/>
  <c r="G14" i="6" s="1"/>
  <c r="I14" i="6" s="1"/>
  <c r="N14" i="6" s="1"/>
  <c r="E15" i="6"/>
  <c r="G15" i="6" s="1"/>
  <c r="I15" i="6" s="1"/>
  <c r="N15" i="6" s="1"/>
  <c r="E16" i="6"/>
  <c r="G16" i="6" s="1"/>
  <c r="I16" i="6" s="1"/>
  <c r="N16" i="6" s="1"/>
  <c r="E17" i="6"/>
  <c r="G17" i="6" s="1"/>
  <c r="I17" i="6" s="1"/>
  <c r="N17" i="6" s="1"/>
  <c r="E18" i="6"/>
  <c r="G18" i="6" s="1"/>
  <c r="I18" i="6" s="1"/>
  <c r="N18" i="6" s="1"/>
  <c r="E19" i="6"/>
  <c r="G19" i="6" s="1"/>
  <c r="I19" i="6" s="1"/>
  <c r="N19" i="6" s="1"/>
  <c r="E20" i="6"/>
  <c r="G20" i="6" s="1"/>
  <c r="I20" i="6" s="1"/>
  <c r="N20" i="6" s="1"/>
  <c r="E21" i="6"/>
  <c r="G21" i="6" s="1"/>
  <c r="I21" i="6" s="1"/>
  <c r="N21" i="6" s="1"/>
  <c r="E22" i="6"/>
  <c r="G22" i="6" s="1"/>
  <c r="I22" i="6" s="1"/>
  <c r="N22" i="6" s="1"/>
  <c r="E23" i="6"/>
  <c r="G23" i="6" s="1"/>
  <c r="I23" i="6" s="1"/>
  <c r="N23" i="6" s="1"/>
  <c r="E24" i="6"/>
  <c r="G24" i="6" s="1"/>
  <c r="I24" i="6" s="1"/>
  <c r="N24" i="6" s="1"/>
  <c r="E25" i="6"/>
  <c r="G25" i="6" s="1"/>
  <c r="I25" i="6" s="1"/>
  <c r="N25" i="6" s="1"/>
  <c r="E26" i="6"/>
  <c r="G26" i="6" s="1"/>
  <c r="I26" i="6" s="1"/>
  <c r="N26" i="6" s="1"/>
  <c r="E27" i="6"/>
  <c r="G27" i="6" s="1"/>
  <c r="I27" i="6" s="1"/>
  <c r="N27" i="6" s="1"/>
  <c r="E28" i="6"/>
  <c r="G28" i="6" s="1"/>
  <c r="I28" i="6" s="1"/>
  <c r="N28" i="6" s="1"/>
  <c r="E29" i="6"/>
  <c r="G29" i="6" s="1"/>
  <c r="I29" i="6" s="1"/>
  <c r="N29" i="6" s="1"/>
  <c r="E30" i="6"/>
  <c r="G30" i="6" s="1"/>
  <c r="I30" i="6" s="1"/>
  <c r="N30" i="6" s="1"/>
  <c r="E31" i="6"/>
  <c r="G31" i="6" s="1"/>
  <c r="I31" i="6" s="1"/>
  <c r="N31" i="6" s="1"/>
  <c r="E32" i="6"/>
  <c r="G32" i="6" s="1"/>
  <c r="I32" i="6" s="1"/>
  <c r="N32" i="6" s="1"/>
  <c r="E33" i="6"/>
  <c r="G33" i="6" s="1"/>
  <c r="I33" i="6" s="1"/>
  <c r="N33" i="6" s="1"/>
  <c r="E34" i="6"/>
  <c r="G34" i="6" s="1"/>
  <c r="I34" i="6" s="1"/>
  <c r="N34" i="6" s="1"/>
  <c r="E35" i="6"/>
  <c r="G35" i="6" s="1"/>
  <c r="I35" i="6" s="1"/>
  <c r="N35" i="6" s="1"/>
  <c r="E36" i="6"/>
  <c r="G36" i="6" s="1"/>
  <c r="I36" i="6" s="1"/>
  <c r="N36" i="6" s="1"/>
  <c r="E37" i="6"/>
  <c r="G37" i="6" s="1"/>
  <c r="I37" i="6" s="1"/>
  <c r="N37" i="6" s="1"/>
  <c r="E38" i="6"/>
  <c r="G38" i="6" s="1"/>
  <c r="I38" i="6" s="1"/>
  <c r="N38" i="6" s="1"/>
  <c r="E44" i="6"/>
  <c r="G44" i="6" s="1"/>
  <c r="I44" i="6" s="1"/>
  <c r="N44" i="6" s="1"/>
  <c r="E45" i="6"/>
  <c r="G45" i="6" s="1"/>
  <c r="I45" i="6" s="1"/>
  <c r="N45" i="6" s="1"/>
  <c r="E46" i="6"/>
  <c r="G46" i="6" s="1"/>
  <c r="I46" i="6" s="1"/>
  <c r="N46" i="6" s="1"/>
  <c r="E47" i="6"/>
  <c r="G47" i="6" s="1"/>
  <c r="I47" i="6" s="1"/>
  <c r="N47" i="6" s="1"/>
  <c r="E48" i="6"/>
  <c r="G48" i="6" s="1"/>
  <c r="I48" i="6" s="1"/>
  <c r="N48" i="6" s="1"/>
  <c r="E49" i="6"/>
  <c r="G49" i="6" s="1"/>
  <c r="I49" i="6" s="1"/>
  <c r="N49" i="6" s="1"/>
  <c r="E50" i="6"/>
  <c r="G50" i="6" s="1"/>
  <c r="I50" i="6" s="1"/>
  <c r="N50" i="6" s="1"/>
  <c r="E51" i="6"/>
  <c r="G51" i="6" s="1"/>
  <c r="I51" i="6" s="1"/>
  <c r="N51" i="6" s="1"/>
  <c r="E52" i="6"/>
  <c r="G52" i="6" s="1"/>
  <c r="I52" i="6" s="1"/>
  <c r="N52" i="6" s="1"/>
  <c r="E53" i="6"/>
  <c r="G53" i="6" s="1"/>
  <c r="I53" i="6" s="1"/>
  <c r="N53" i="6" s="1"/>
  <c r="E54" i="6"/>
  <c r="G54" i="6" s="1"/>
  <c r="I54" i="6" s="1"/>
  <c r="N54" i="6" s="1"/>
  <c r="E55" i="6"/>
  <c r="G55" i="6" s="1"/>
  <c r="I55" i="6" s="1"/>
  <c r="N55" i="6" s="1"/>
  <c r="E56" i="6"/>
  <c r="G56" i="6" s="1"/>
  <c r="I56" i="6" s="1"/>
  <c r="N56" i="6" s="1"/>
  <c r="E57" i="6"/>
  <c r="G57" i="6" s="1"/>
  <c r="I57" i="6" s="1"/>
  <c r="N57" i="6" s="1"/>
  <c r="E58" i="6"/>
  <c r="G58" i="6" s="1"/>
  <c r="I58" i="6" s="1"/>
  <c r="N58" i="6" s="1"/>
  <c r="E59" i="6"/>
  <c r="G59" i="6" s="1"/>
  <c r="I59" i="6" s="1"/>
  <c r="N59" i="6" s="1"/>
  <c r="E63" i="6"/>
  <c r="G63" i="6" s="1"/>
  <c r="E64" i="6"/>
  <c r="G64" i="6" s="1"/>
  <c r="E65" i="6"/>
  <c r="G65" i="6" s="1"/>
  <c r="I65" i="6" s="1"/>
  <c r="N65" i="6" s="1"/>
  <c r="E66" i="6"/>
  <c r="G66" i="6" s="1"/>
  <c r="I66" i="6" s="1"/>
  <c r="N66" i="6" s="1"/>
  <c r="E67" i="6"/>
  <c r="G67" i="6" s="1"/>
  <c r="I67" i="6" s="1"/>
  <c r="N67" i="6" s="1"/>
  <c r="E68" i="6"/>
  <c r="G68" i="6" s="1"/>
  <c r="I68" i="6" s="1"/>
  <c r="N68" i="6" s="1"/>
  <c r="E69" i="6"/>
  <c r="G69" i="6" s="1"/>
  <c r="I69" i="6" s="1"/>
  <c r="N69" i="6" s="1"/>
  <c r="E70" i="6"/>
  <c r="G70" i="6" s="1"/>
  <c r="I70" i="6" s="1"/>
  <c r="N70" i="6" s="1"/>
  <c r="E71" i="6"/>
  <c r="G71" i="6" s="1"/>
  <c r="I71" i="6" s="1"/>
  <c r="N71" i="6" s="1"/>
  <c r="E72" i="6"/>
  <c r="G72" i="6" s="1"/>
  <c r="I72" i="6" s="1"/>
  <c r="N72" i="6" s="1"/>
  <c r="E73" i="6"/>
  <c r="G73" i="6" s="1"/>
  <c r="I73" i="6" s="1"/>
  <c r="N73" i="6" s="1"/>
  <c r="E74" i="6"/>
  <c r="G74" i="6" s="1"/>
  <c r="I74" i="6" s="1"/>
  <c r="N74" i="6" s="1"/>
  <c r="E75" i="6"/>
  <c r="G75" i="6" s="1"/>
  <c r="I75" i="6" s="1"/>
  <c r="N75" i="6" s="1"/>
  <c r="E76" i="6"/>
  <c r="G76" i="6" s="1"/>
  <c r="I76" i="6" s="1"/>
  <c r="N76" i="6" s="1"/>
  <c r="E77" i="6"/>
  <c r="G77" i="6" s="1"/>
  <c r="I77" i="6" s="1"/>
  <c r="N77" i="6" s="1"/>
  <c r="E78" i="6"/>
  <c r="G78" i="6" s="1"/>
  <c r="I78" i="6" s="1"/>
  <c r="N78" i="6" s="1"/>
  <c r="E79" i="6"/>
  <c r="G79" i="6" s="1"/>
  <c r="I79" i="6" s="1"/>
  <c r="N79" i="6" s="1"/>
  <c r="E80" i="6"/>
  <c r="G80" i="6" s="1"/>
  <c r="I80" i="6" s="1"/>
  <c r="N80" i="6" s="1"/>
  <c r="E8" i="6"/>
  <c r="G8" i="6" s="1"/>
  <c r="I8" i="6" s="1"/>
  <c r="N8" i="6" s="1"/>
  <c r="D41" i="5"/>
  <c r="E40" i="5"/>
  <c r="G40" i="5" s="1"/>
  <c r="I40" i="5" s="1"/>
  <c r="E39" i="5"/>
  <c r="G39" i="5" s="1"/>
  <c r="I39" i="5" s="1"/>
  <c r="E38" i="5"/>
  <c r="G38" i="5" s="1"/>
  <c r="I38" i="5" s="1"/>
  <c r="E37" i="5"/>
  <c r="G37" i="5" s="1"/>
  <c r="I37" i="5" s="1"/>
  <c r="E36" i="5"/>
  <c r="G36" i="5" s="1"/>
  <c r="I36" i="5" s="1"/>
  <c r="E35" i="5"/>
  <c r="G35" i="5" s="1"/>
  <c r="I35" i="5" s="1"/>
  <c r="E34" i="5"/>
  <c r="G34" i="5" s="1"/>
  <c r="I34" i="5" s="1"/>
  <c r="E33" i="5"/>
  <c r="G33" i="5" s="1"/>
  <c r="I33" i="5" s="1"/>
  <c r="E32" i="5"/>
  <c r="G32" i="5" s="1"/>
  <c r="I32" i="5" s="1"/>
  <c r="E31" i="5"/>
  <c r="G31" i="5" s="1"/>
  <c r="I31" i="5" s="1"/>
  <c r="E30" i="5"/>
  <c r="G30" i="5" s="1"/>
  <c r="I30" i="5" s="1"/>
  <c r="E29" i="5"/>
  <c r="G29" i="5" s="1"/>
  <c r="I29" i="5" s="1"/>
  <c r="E28" i="5"/>
  <c r="G28" i="5" s="1"/>
  <c r="I28" i="5" s="1"/>
  <c r="E27" i="5"/>
  <c r="G27" i="5" s="1"/>
  <c r="I27" i="5" s="1"/>
  <c r="E26" i="5"/>
  <c r="G26" i="5" s="1"/>
  <c r="I26" i="5" s="1"/>
  <c r="E25" i="5"/>
  <c r="G25" i="5" s="1"/>
  <c r="I25" i="5" s="1"/>
  <c r="E24" i="5"/>
  <c r="G24" i="5" s="1"/>
  <c r="I24" i="5" s="1"/>
  <c r="E23" i="5"/>
  <c r="G23" i="5" s="1"/>
  <c r="I23" i="5" s="1"/>
  <c r="E22" i="5"/>
  <c r="G22" i="5" s="1"/>
  <c r="I22" i="5" s="1"/>
  <c r="E21" i="5"/>
  <c r="G21" i="5" s="1"/>
  <c r="I21" i="5" s="1"/>
  <c r="D18" i="5"/>
  <c r="E8" i="5"/>
  <c r="G8" i="5" s="1"/>
  <c r="I8" i="5" s="1"/>
  <c r="N8" i="5" s="1"/>
  <c r="E9" i="5"/>
  <c r="G9" i="5" s="1"/>
  <c r="I9" i="5" s="1"/>
  <c r="E10" i="5"/>
  <c r="G10" i="5" s="1"/>
  <c r="I10" i="5" s="1"/>
  <c r="E11" i="5"/>
  <c r="G11" i="5" s="1"/>
  <c r="I11" i="5" s="1"/>
  <c r="N11" i="5" s="1"/>
  <c r="E12" i="5"/>
  <c r="G12" i="5" s="1"/>
  <c r="I12" i="5" s="1"/>
  <c r="N12" i="5" s="1"/>
  <c r="E13" i="5"/>
  <c r="G13" i="5" s="1"/>
  <c r="I13" i="5" s="1"/>
  <c r="N13" i="5" s="1"/>
  <c r="E14" i="5"/>
  <c r="G14" i="5" s="1"/>
  <c r="I14" i="5" s="1"/>
  <c r="E15" i="5"/>
  <c r="G15" i="5" s="1"/>
  <c r="I15" i="5" s="1"/>
  <c r="E16" i="5"/>
  <c r="G16" i="5" s="1"/>
  <c r="I16" i="5" s="1"/>
  <c r="E17" i="5"/>
  <c r="G17" i="5" s="1"/>
  <c r="I17" i="5" s="1"/>
  <c r="N17" i="5" s="1"/>
  <c r="E7" i="5"/>
  <c r="G7" i="5" s="1"/>
  <c r="I7" i="5" s="1"/>
  <c r="N7" i="5" s="1"/>
  <c r="D48" i="4"/>
  <c r="D71" i="4"/>
  <c r="D67" i="4"/>
  <c r="D91" i="4"/>
  <c r="D106" i="4" s="1"/>
  <c r="D151" i="4"/>
  <c r="D166" i="4" s="1"/>
  <c r="D175" i="4"/>
  <c r="D190" i="4" s="1"/>
  <c r="E193" i="4"/>
  <c r="G193" i="4" s="1"/>
  <c r="E191" i="4"/>
  <c r="G191" i="4" s="1"/>
  <c r="E189" i="4"/>
  <c r="G189" i="4" s="1"/>
  <c r="E187" i="4"/>
  <c r="G187" i="4" s="1"/>
  <c r="I187" i="4" s="1"/>
  <c r="E186" i="4"/>
  <c r="G186" i="4" s="1"/>
  <c r="I186" i="4" s="1"/>
  <c r="N186" i="4" s="1"/>
  <c r="E185" i="4"/>
  <c r="G185" i="4" s="1"/>
  <c r="I185" i="4" s="1"/>
  <c r="N185" i="4" s="1"/>
  <c r="E184" i="4"/>
  <c r="G184" i="4" s="1"/>
  <c r="I184" i="4" s="1"/>
  <c r="N184" i="4" s="1"/>
  <c r="E183" i="4"/>
  <c r="G183" i="4" s="1"/>
  <c r="I183" i="4" s="1"/>
  <c r="N183" i="4" s="1"/>
  <c r="E182" i="4"/>
  <c r="G182" i="4" s="1"/>
  <c r="I182" i="4" s="1"/>
  <c r="N182" i="4" s="1"/>
  <c r="E181" i="4"/>
  <c r="G181" i="4" s="1"/>
  <c r="I181" i="4" s="1"/>
  <c r="N181" i="4" s="1"/>
  <c r="E180" i="4"/>
  <c r="G180" i="4" s="1"/>
  <c r="I180" i="4" s="1"/>
  <c r="N180" i="4" s="1"/>
  <c r="E179" i="4"/>
  <c r="G179" i="4" s="1"/>
  <c r="I179" i="4" s="1"/>
  <c r="N179" i="4" s="1"/>
  <c r="E178" i="4"/>
  <c r="E177" i="4"/>
  <c r="G177" i="4" s="1"/>
  <c r="E176" i="4"/>
  <c r="G176" i="4" s="1"/>
  <c r="E174" i="4"/>
  <c r="G174" i="4" s="1"/>
  <c r="I174" i="4" s="1"/>
  <c r="N174" i="4" s="1"/>
  <c r="E173" i="4"/>
  <c r="G173" i="4" s="1"/>
  <c r="I173" i="4" s="1"/>
  <c r="N173" i="4" s="1"/>
  <c r="E172" i="4"/>
  <c r="G172" i="4" s="1"/>
  <c r="N172" i="4" s="1"/>
  <c r="E171" i="4"/>
  <c r="G171" i="4" s="1"/>
  <c r="E170" i="4"/>
  <c r="G170" i="4" s="1"/>
  <c r="E169" i="4"/>
  <c r="G169" i="4" s="1"/>
  <c r="E168" i="4"/>
  <c r="G168" i="4" s="1"/>
  <c r="E167" i="4"/>
  <c r="G167" i="4" s="1"/>
  <c r="E165" i="4"/>
  <c r="G165" i="4" s="1"/>
  <c r="E163" i="4"/>
  <c r="G163" i="4" s="1"/>
  <c r="I163" i="4" s="1"/>
  <c r="N163" i="4" s="1"/>
  <c r="E162" i="4"/>
  <c r="G162" i="4" s="1"/>
  <c r="I162" i="4" s="1"/>
  <c r="N162" i="4" s="1"/>
  <c r="E161" i="4"/>
  <c r="G161" i="4" s="1"/>
  <c r="I161" i="4" s="1"/>
  <c r="N161" i="4" s="1"/>
  <c r="E160" i="4"/>
  <c r="G160" i="4" s="1"/>
  <c r="I160" i="4" s="1"/>
  <c r="N160" i="4" s="1"/>
  <c r="E159" i="4"/>
  <c r="G159" i="4" s="1"/>
  <c r="I159" i="4" s="1"/>
  <c r="N159" i="4" s="1"/>
  <c r="E158" i="4"/>
  <c r="G158" i="4" s="1"/>
  <c r="I158" i="4" s="1"/>
  <c r="N158" i="4" s="1"/>
  <c r="E157" i="4"/>
  <c r="G157" i="4" s="1"/>
  <c r="I157" i="4" s="1"/>
  <c r="N157" i="4" s="1"/>
  <c r="E156" i="4"/>
  <c r="G156" i="4" s="1"/>
  <c r="I156" i="4" s="1"/>
  <c r="N156" i="4" s="1"/>
  <c r="E155" i="4"/>
  <c r="G155" i="4" s="1"/>
  <c r="I155" i="4" s="1"/>
  <c r="N155" i="4" s="1"/>
  <c r="E154" i="4"/>
  <c r="E153" i="4"/>
  <c r="G153" i="4" s="1"/>
  <c r="E152" i="4"/>
  <c r="G152" i="4" s="1"/>
  <c r="E147" i="4"/>
  <c r="G147" i="4" s="1"/>
  <c r="I147" i="4" s="1"/>
  <c r="N147" i="4" s="1"/>
  <c r="E146" i="4"/>
  <c r="G146" i="4" s="1"/>
  <c r="I146" i="4" s="1"/>
  <c r="N146" i="4" s="1"/>
  <c r="E145" i="4"/>
  <c r="G145" i="4" s="1"/>
  <c r="I145" i="4" s="1"/>
  <c r="E144" i="4"/>
  <c r="G144" i="4" s="1"/>
  <c r="I144" i="4" s="1"/>
  <c r="N144" i="4" s="1"/>
  <c r="E143" i="4"/>
  <c r="G143" i="4" s="1"/>
  <c r="I143" i="4" s="1"/>
  <c r="N143" i="4" s="1"/>
  <c r="E142" i="4"/>
  <c r="G142" i="4" s="1"/>
  <c r="I142" i="4" s="1"/>
  <c r="N142" i="4" s="1"/>
  <c r="E141" i="4"/>
  <c r="G141" i="4" s="1"/>
  <c r="I141" i="4" s="1"/>
  <c r="N141" i="4" s="1"/>
  <c r="E140" i="4"/>
  <c r="G140" i="4" s="1"/>
  <c r="I140" i="4" s="1"/>
  <c r="N140" i="4" s="1"/>
  <c r="E139" i="4"/>
  <c r="G139" i="4" s="1"/>
  <c r="I139" i="4" s="1"/>
  <c r="N139" i="4" s="1"/>
  <c r="E138" i="4"/>
  <c r="G138" i="4" s="1"/>
  <c r="I138" i="4" s="1"/>
  <c r="N138" i="4" s="1"/>
  <c r="E137" i="4"/>
  <c r="G137" i="4" s="1"/>
  <c r="I137" i="4" s="1"/>
  <c r="N137" i="4" s="1"/>
  <c r="E136" i="4"/>
  <c r="G136" i="4" s="1"/>
  <c r="I136" i="4" s="1"/>
  <c r="N136" i="4" s="1"/>
  <c r="E135" i="4"/>
  <c r="G135" i="4" s="1"/>
  <c r="I135" i="4" s="1"/>
  <c r="N135" i="4" s="1"/>
  <c r="E134" i="4"/>
  <c r="G134" i="4" s="1"/>
  <c r="I134" i="4" s="1"/>
  <c r="N134" i="4" s="1"/>
  <c r="E133" i="4"/>
  <c r="G133" i="4" s="1"/>
  <c r="I133" i="4" s="1"/>
  <c r="N133" i="4" s="1"/>
  <c r="E132" i="4"/>
  <c r="G132" i="4" s="1"/>
  <c r="I132" i="4" s="1"/>
  <c r="N132" i="4" s="1"/>
  <c r="E131" i="4"/>
  <c r="G131" i="4" s="1"/>
  <c r="I131" i="4" s="1"/>
  <c r="N131" i="4" s="1"/>
  <c r="E130" i="4"/>
  <c r="G130" i="4" s="1"/>
  <c r="I130" i="4" s="1"/>
  <c r="N130" i="4" s="1"/>
  <c r="E129" i="4"/>
  <c r="G129" i="4" s="1"/>
  <c r="I129" i="4" s="1"/>
  <c r="N129" i="4" s="1"/>
  <c r="E128" i="4"/>
  <c r="G128" i="4" s="1"/>
  <c r="I128" i="4" s="1"/>
  <c r="N128" i="4" s="1"/>
  <c r="E127" i="4"/>
  <c r="G127" i="4" s="1"/>
  <c r="I127" i="4" s="1"/>
  <c r="N127" i="4" s="1"/>
  <c r="E126" i="4"/>
  <c r="G126" i="4" s="1"/>
  <c r="I126" i="4" s="1"/>
  <c r="N126" i="4" s="1"/>
  <c r="E125" i="4"/>
  <c r="G125" i="4" s="1"/>
  <c r="I125" i="4" s="1"/>
  <c r="N125" i="4" s="1"/>
  <c r="E124" i="4"/>
  <c r="G124" i="4" s="1"/>
  <c r="I124" i="4" s="1"/>
  <c r="N124" i="4" s="1"/>
  <c r="E123" i="4"/>
  <c r="G123" i="4" s="1"/>
  <c r="I123" i="4" s="1"/>
  <c r="N123" i="4" s="1"/>
  <c r="E122" i="4"/>
  <c r="G122" i="4" s="1"/>
  <c r="I122" i="4" s="1"/>
  <c r="N122" i="4" s="1"/>
  <c r="E121" i="4"/>
  <c r="G121" i="4" s="1"/>
  <c r="I121" i="4" s="1"/>
  <c r="N121" i="4" s="1"/>
  <c r="E120" i="4"/>
  <c r="G120" i="4" s="1"/>
  <c r="I120" i="4" s="1"/>
  <c r="N120" i="4" s="1"/>
  <c r="E119" i="4"/>
  <c r="G119" i="4" s="1"/>
  <c r="I119" i="4" s="1"/>
  <c r="N119" i="4" s="1"/>
  <c r="E118" i="4"/>
  <c r="G118" i="4" s="1"/>
  <c r="I118" i="4" s="1"/>
  <c r="N118" i="4" s="1"/>
  <c r="E117" i="4"/>
  <c r="G117" i="4" s="1"/>
  <c r="I117" i="4" s="1"/>
  <c r="N117" i="4" s="1"/>
  <c r="E116" i="4"/>
  <c r="G116" i="4" s="1"/>
  <c r="I116" i="4" s="1"/>
  <c r="N116" i="4" s="1"/>
  <c r="E115" i="4"/>
  <c r="G115" i="4" s="1"/>
  <c r="I115" i="4" s="1"/>
  <c r="N115" i="4" s="1"/>
  <c r="E114" i="4"/>
  <c r="G114" i="4" s="1"/>
  <c r="I114" i="4" s="1"/>
  <c r="N114" i="4" s="1"/>
  <c r="E113" i="4"/>
  <c r="G113" i="4" s="1"/>
  <c r="I113" i="4" s="1"/>
  <c r="N113" i="4" s="1"/>
  <c r="E112" i="4"/>
  <c r="G112" i="4" s="1"/>
  <c r="E111" i="4"/>
  <c r="G111" i="4" s="1"/>
  <c r="E110" i="4"/>
  <c r="G110" i="4" s="1"/>
  <c r="E109" i="4"/>
  <c r="G109" i="4" s="1"/>
  <c r="E108" i="4"/>
  <c r="G108" i="4" s="1"/>
  <c r="E107" i="4"/>
  <c r="G107" i="4" s="1"/>
  <c r="E105" i="4"/>
  <c r="G105" i="4" s="1"/>
  <c r="E103" i="4"/>
  <c r="G103" i="4" s="1"/>
  <c r="I103" i="4" s="1"/>
  <c r="N103" i="4" s="1"/>
  <c r="E102" i="4"/>
  <c r="G102" i="4" s="1"/>
  <c r="I102" i="4" s="1"/>
  <c r="N102" i="4" s="1"/>
  <c r="E101" i="4"/>
  <c r="G101" i="4" s="1"/>
  <c r="I101" i="4" s="1"/>
  <c r="N101" i="4" s="1"/>
  <c r="E100" i="4"/>
  <c r="G100" i="4" s="1"/>
  <c r="I100" i="4" s="1"/>
  <c r="N100" i="4" s="1"/>
  <c r="E99" i="4"/>
  <c r="G99" i="4" s="1"/>
  <c r="I99" i="4" s="1"/>
  <c r="N99" i="4" s="1"/>
  <c r="E98" i="4"/>
  <c r="G98" i="4" s="1"/>
  <c r="I98" i="4" s="1"/>
  <c r="N98" i="4" s="1"/>
  <c r="E97" i="4"/>
  <c r="G97" i="4" s="1"/>
  <c r="I97" i="4" s="1"/>
  <c r="N97" i="4" s="1"/>
  <c r="E96" i="4"/>
  <c r="G96" i="4" s="1"/>
  <c r="I96" i="4" s="1"/>
  <c r="N96" i="4" s="1"/>
  <c r="E95" i="4"/>
  <c r="G95" i="4" s="1"/>
  <c r="I95" i="4" s="1"/>
  <c r="N95" i="4" s="1"/>
  <c r="E94" i="4"/>
  <c r="E93" i="4"/>
  <c r="G93" i="4" s="1"/>
  <c r="E92" i="4"/>
  <c r="G92" i="4" s="1"/>
  <c r="E90" i="4"/>
  <c r="G90" i="4" s="1"/>
  <c r="I90" i="4" s="1"/>
  <c r="N90" i="4" s="1"/>
  <c r="E89" i="4"/>
  <c r="G89" i="4" s="1"/>
  <c r="I89" i="4" s="1"/>
  <c r="N89" i="4" s="1"/>
  <c r="E88" i="4"/>
  <c r="G88" i="4" s="1"/>
  <c r="I88" i="4" s="1"/>
  <c r="N88" i="4" s="1"/>
  <c r="E87" i="4"/>
  <c r="G87" i="4" s="1"/>
  <c r="I87" i="4" s="1"/>
  <c r="N87" i="4" s="1"/>
  <c r="E86" i="4"/>
  <c r="G86" i="4" s="1"/>
  <c r="I86" i="4" s="1"/>
  <c r="N86" i="4" s="1"/>
  <c r="E85" i="4"/>
  <c r="G85" i="4" s="1"/>
  <c r="I85" i="4" s="1"/>
  <c r="N85" i="4" s="1"/>
  <c r="E84" i="4"/>
  <c r="G84" i="4" s="1"/>
  <c r="I84" i="4" s="1"/>
  <c r="N84" i="4" s="1"/>
  <c r="E83" i="4"/>
  <c r="G83" i="4" s="1"/>
  <c r="I83" i="4" s="1"/>
  <c r="N83" i="4" s="1"/>
  <c r="E82" i="4"/>
  <c r="G82" i="4" s="1"/>
  <c r="I82" i="4" s="1"/>
  <c r="N82" i="4" s="1"/>
  <c r="E81" i="4"/>
  <c r="G81" i="4" s="1"/>
  <c r="I81" i="4" s="1"/>
  <c r="N81" i="4" s="1"/>
  <c r="E80" i="4"/>
  <c r="G80" i="4" s="1"/>
  <c r="I80" i="4" s="1"/>
  <c r="N80" i="4" s="1"/>
  <c r="E79" i="4"/>
  <c r="G79" i="4" s="1"/>
  <c r="I79" i="4" s="1"/>
  <c r="N79" i="4" s="1"/>
  <c r="E78" i="4"/>
  <c r="G78" i="4" s="1"/>
  <c r="E77" i="4"/>
  <c r="G77" i="4" s="1"/>
  <c r="E76" i="4"/>
  <c r="G76" i="4" s="1"/>
  <c r="E75" i="4"/>
  <c r="G75" i="4" s="1"/>
  <c r="E74" i="4"/>
  <c r="G74" i="4" s="1"/>
  <c r="E72" i="4"/>
  <c r="G72" i="4" s="1"/>
  <c r="E70" i="4"/>
  <c r="E69" i="4"/>
  <c r="G69" i="4" s="1"/>
  <c r="E68" i="4"/>
  <c r="G68" i="4" s="1"/>
  <c r="E66" i="4"/>
  <c r="G66" i="4" s="1"/>
  <c r="I66" i="4" s="1"/>
  <c r="N66" i="4" s="1"/>
  <c r="E65" i="4"/>
  <c r="G65" i="4" s="1"/>
  <c r="I65" i="4" s="1"/>
  <c r="N65" i="4" s="1"/>
  <c r="E64" i="4"/>
  <c r="G64" i="4" s="1"/>
  <c r="I64" i="4" s="1"/>
  <c r="N64" i="4" s="1"/>
  <c r="E63" i="4"/>
  <c r="G63" i="4" s="1"/>
  <c r="I63" i="4" s="1"/>
  <c r="N63" i="4" s="1"/>
  <c r="E62" i="4"/>
  <c r="G62" i="4" s="1"/>
  <c r="I62" i="4" s="1"/>
  <c r="N62" i="4" s="1"/>
  <c r="E61" i="4"/>
  <c r="G61" i="4" s="1"/>
  <c r="I61" i="4" s="1"/>
  <c r="N61" i="4" s="1"/>
  <c r="E60" i="4"/>
  <c r="G60" i="4" s="1"/>
  <c r="I60" i="4" s="1"/>
  <c r="N60" i="4" s="1"/>
  <c r="E59" i="4"/>
  <c r="G59" i="4" s="1"/>
  <c r="I59" i="4" s="1"/>
  <c r="N59" i="4" s="1"/>
  <c r="E58" i="4"/>
  <c r="G58" i="4" s="1"/>
  <c r="I58" i="4" s="1"/>
  <c r="N58" i="4" s="1"/>
  <c r="E57" i="4"/>
  <c r="G57" i="4" s="1"/>
  <c r="I57" i="4" s="1"/>
  <c r="N57" i="4" s="1"/>
  <c r="E56" i="4"/>
  <c r="G56" i="4" s="1"/>
  <c r="I56" i="4" s="1"/>
  <c r="N56" i="4" s="1"/>
  <c r="E55" i="4"/>
  <c r="G55" i="4" s="1"/>
  <c r="I55" i="4" s="1"/>
  <c r="N55" i="4" s="1"/>
  <c r="E54" i="4"/>
  <c r="G54" i="4" s="1"/>
  <c r="I54" i="4" s="1"/>
  <c r="N54" i="4" s="1"/>
  <c r="E53" i="4"/>
  <c r="G53" i="4" s="1"/>
  <c r="I53" i="4" s="1"/>
  <c r="N53" i="4" s="1"/>
  <c r="E52" i="4"/>
  <c r="G52" i="4" s="1"/>
  <c r="I52" i="4" s="1"/>
  <c r="N52" i="4" s="1"/>
  <c r="E51" i="4"/>
  <c r="G51" i="4" s="1"/>
  <c r="I51" i="4" s="1"/>
  <c r="N51" i="4" s="1"/>
  <c r="E50" i="4"/>
  <c r="G50" i="4" s="1"/>
  <c r="E49" i="4"/>
  <c r="E47" i="4"/>
  <c r="G47" i="4" s="1"/>
  <c r="I47" i="4" s="1"/>
  <c r="N47" i="4" s="1"/>
  <c r="E46" i="4"/>
  <c r="G46" i="4" s="1"/>
  <c r="I46" i="4" s="1"/>
  <c r="N46" i="4" s="1"/>
  <c r="E44" i="4"/>
  <c r="G44" i="4" s="1"/>
  <c r="I44" i="4" s="1"/>
  <c r="N44" i="4" s="1"/>
  <c r="E43" i="4"/>
  <c r="G43" i="4" s="1"/>
  <c r="I43" i="4" s="1"/>
  <c r="N43" i="4" s="1"/>
  <c r="E42" i="4"/>
  <c r="G42" i="4" s="1"/>
  <c r="I42" i="4" s="1"/>
  <c r="N42" i="4" s="1"/>
  <c r="E41" i="4"/>
  <c r="G41" i="4" s="1"/>
  <c r="I41" i="4" s="1"/>
  <c r="N41" i="4" s="1"/>
  <c r="E40" i="4"/>
  <c r="G40" i="4" s="1"/>
  <c r="I40" i="4" s="1"/>
  <c r="N40" i="4" s="1"/>
  <c r="E39" i="4"/>
  <c r="G39" i="4" s="1"/>
  <c r="I39" i="4" s="1"/>
  <c r="N39" i="4" s="1"/>
  <c r="E38" i="4"/>
  <c r="G38" i="4" s="1"/>
  <c r="I38" i="4" s="1"/>
  <c r="N38" i="4" s="1"/>
  <c r="E37" i="4"/>
  <c r="G37" i="4" s="1"/>
  <c r="I37" i="4" s="1"/>
  <c r="N37" i="4" s="1"/>
  <c r="E36" i="4"/>
  <c r="G36" i="4" s="1"/>
  <c r="I36" i="4" s="1"/>
  <c r="N36" i="4" s="1"/>
  <c r="E35" i="4"/>
  <c r="G35" i="4" s="1"/>
  <c r="I35" i="4" s="1"/>
  <c r="N35" i="4" s="1"/>
  <c r="E34" i="4"/>
  <c r="G34" i="4" s="1"/>
  <c r="I34" i="4" s="1"/>
  <c r="N34" i="4" s="1"/>
  <c r="E33" i="4"/>
  <c r="G33" i="4" s="1"/>
  <c r="I33" i="4" s="1"/>
  <c r="N33" i="4" s="1"/>
  <c r="E32" i="4"/>
  <c r="G32" i="4" s="1"/>
  <c r="I32" i="4" s="1"/>
  <c r="N32" i="4" s="1"/>
  <c r="E31" i="4"/>
  <c r="G31" i="4" s="1"/>
  <c r="I31" i="4" s="1"/>
  <c r="N31" i="4" s="1"/>
  <c r="E30" i="4"/>
  <c r="G30" i="4" s="1"/>
  <c r="I30" i="4" s="1"/>
  <c r="N30" i="4" s="1"/>
  <c r="E29" i="4"/>
  <c r="G29" i="4" s="1"/>
  <c r="I29" i="4" s="1"/>
  <c r="N29" i="4" s="1"/>
  <c r="E28" i="4"/>
  <c r="G28" i="4" s="1"/>
  <c r="I28" i="4" s="1"/>
  <c r="N28" i="4" s="1"/>
  <c r="E26" i="4"/>
  <c r="G26" i="4" s="1"/>
  <c r="I26" i="4" s="1"/>
  <c r="N26" i="4" s="1"/>
  <c r="E25" i="4"/>
  <c r="G25" i="4" s="1"/>
  <c r="I25" i="4" s="1"/>
  <c r="N25" i="4" s="1"/>
  <c r="E24" i="4"/>
  <c r="G24" i="4" s="1"/>
  <c r="I24" i="4" s="1"/>
  <c r="N24" i="4" s="1"/>
  <c r="E23" i="4"/>
  <c r="G23" i="4" s="1"/>
  <c r="I23" i="4" s="1"/>
  <c r="N23" i="4" s="1"/>
  <c r="E22" i="4"/>
  <c r="G22" i="4" s="1"/>
  <c r="I22" i="4" s="1"/>
  <c r="N22" i="4" s="1"/>
  <c r="E21" i="4"/>
  <c r="G21" i="4" s="1"/>
  <c r="I21" i="4" s="1"/>
  <c r="N21" i="4" s="1"/>
  <c r="E20" i="4"/>
  <c r="G20" i="4" s="1"/>
  <c r="I20" i="4" s="1"/>
  <c r="N20" i="4" s="1"/>
  <c r="E19" i="4"/>
  <c r="G19" i="4" s="1"/>
  <c r="I19" i="4" s="1"/>
  <c r="N19" i="4" s="1"/>
  <c r="E18" i="4"/>
  <c r="G18" i="4" s="1"/>
  <c r="I18" i="4" s="1"/>
  <c r="N18" i="4" s="1"/>
  <c r="E17" i="4"/>
  <c r="G17" i="4" s="1"/>
  <c r="I17" i="4" s="1"/>
  <c r="N17" i="4" s="1"/>
  <c r="E16" i="4"/>
  <c r="G16" i="4" s="1"/>
  <c r="I16" i="4" s="1"/>
  <c r="N16" i="4" s="1"/>
  <c r="E15" i="4"/>
  <c r="G15" i="4" s="1"/>
  <c r="I15" i="4" s="1"/>
  <c r="N15" i="4" s="1"/>
  <c r="E14" i="4"/>
  <c r="G14" i="4" s="1"/>
  <c r="I14" i="4" s="1"/>
  <c r="N14" i="4" s="1"/>
  <c r="E13" i="4"/>
  <c r="G13" i="4" s="1"/>
  <c r="I13" i="4" s="1"/>
  <c r="N13" i="4" s="1"/>
  <c r="E12" i="4"/>
  <c r="G12" i="4" s="1"/>
  <c r="I12" i="4" s="1"/>
  <c r="N12" i="4" s="1"/>
  <c r="E11" i="4"/>
  <c r="G11" i="4" s="1"/>
  <c r="I11" i="4" s="1"/>
  <c r="N11" i="4" s="1"/>
  <c r="E10" i="4"/>
  <c r="G10" i="4" s="1"/>
  <c r="I10" i="4" s="1"/>
  <c r="N10" i="4" s="1"/>
  <c r="E9" i="4"/>
  <c r="G9" i="4" s="1"/>
  <c r="I9" i="4" s="1"/>
  <c r="N9" i="4" s="1"/>
  <c r="E8" i="4"/>
  <c r="G8" i="4" s="1"/>
  <c r="I8" i="4" s="1"/>
  <c r="N8" i="4" s="1"/>
  <c r="D11" i="3"/>
  <c r="D13" i="3" s="1"/>
  <c r="D22" i="3"/>
  <c r="D35" i="3"/>
  <c r="D113" i="3"/>
  <c r="D127" i="3" s="1"/>
  <c r="D136" i="3"/>
  <c r="D142" i="3"/>
  <c r="D156" i="3" s="1"/>
  <c r="D172" i="3"/>
  <c r="D187" i="3" s="1"/>
  <c r="D204" i="3"/>
  <c r="D224" i="3"/>
  <c r="E14" i="3"/>
  <c r="E15" i="3"/>
  <c r="E16" i="3"/>
  <c r="E17" i="3"/>
  <c r="E18" i="3"/>
  <c r="E19" i="3"/>
  <c r="G19" i="3" s="1"/>
  <c r="I19" i="3" s="1"/>
  <c r="N19" i="3" s="1"/>
  <c r="E20" i="3"/>
  <c r="G20" i="3" s="1"/>
  <c r="I20" i="3" s="1"/>
  <c r="N20" i="3" s="1"/>
  <c r="E21" i="3"/>
  <c r="G21" i="3" s="1"/>
  <c r="I21" i="3" s="1"/>
  <c r="N21" i="3" s="1"/>
  <c r="E23" i="3"/>
  <c r="E24" i="3"/>
  <c r="E25" i="3"/>
  <c r="G25" i="3" s="1"/>
  <c r="I25" i="3" s="1"/>
  <c r="N25" i="3" s="1"/>
  <c r="E26" i="3"/>
  <c r="G26" i="3" s="1"/>
  <c r="I26" i="3" s="1"/>
  <c r="N26" i="3" s="1"/>
  <c r="E27" i="3"/>
  <c r="G27" i="3" s="1"/>
  <c r="I27" i="3" s="1"/>
  <c r="N27" i="3" s="1"/>
  <c r="E28" i="3"/>
  <c r="G28" i="3" s="1"/>
  <c r="I28" i="3" s="1"/>
  <c r="N28" i="3" s="1"/>
  <c r="E29" i="3"/>
  <c r="G29" i="3" s="1"/>
  <c r="I29" i="3" s="1"/>
  <c r="N29" i="3" s="1"/>
  <c r="E30" i="3"/>
  <c r="G30" i="3" s="1"/>
  <c r="I30" i="3" s="1"/>
  <c r="N30" i="3" s="1"/>
  <c r="E31" i="3"/>
  <c r="G31" i="3" s="1"/>
  <c r="I31" i="3" s="1"/>
  <c r="N31" i="3" s="1"/>
  <c r="E32" i="3"/>
  <c r="G32" i="3" s="1"/>
  <c r="I32" i="3" s="1"/>
  <c r="N32" i="3" s="1"/>
  <c r="E33" i="3"/>
  <c r="G33" i="3" s="1"/>
  <c r="I33" i="3" s="1"/>
  <c r="N33" i="3" s="1"/>
  <c r="E34" i="3"/>
  <c r="G34" i="3" s="1"/>
  <c r="I34" i="3" s="1"/>
  <c r="N34" i="3" s="1"/>
  <c r="E36" i="3"/>
  <c r="E38" i="3"/>
  <c r="E39" i="3"/>
  <c r="E40" i="3"/>
  <c r="E41" i="3"/>
  <c r="E42" i="3"/>
  <c r="E43" i="3"/>
  <c r="G43" i="3" s="1"/>
  <c r="I43" i="3" s="1"/>
  <c r="N43" i="3" s="1"/>
  <c r="E44" i="3"/>
  <c r="G44" i="3" s="1"/>
  <c r="I44" i="3" s="1"/>
  <c r="N44" i="3" s="1"/>
  <c r="E45" i="3"/>
  <c r="G45" i="3" s="1"/>
  <c r="I45" i="3" s="1"/>
  <c r="N45" i="3" s="1"/>
  <c r="E46" i="3"/>
  <c r="G46" i="3" s="1"/>
  <c r="I46" i="3" s="1"/>
  <c r="N46" i="3" s="1"/>
  <c r="E47" i="3"/>
  <c r="G47" i="3" s="1"/>
  <c r="I47" i="3" s="1"/>
  <c r="N47" i="3" s="1"/>
  <c r="E48" i="3"/>
  <c r="G48" i="3" s="1"/>
  <c r="I48" i="3" s="1"/>
  <c r="N48" i="3" s="1"/>
  <c r="E49" i="3"/>
  <c r="G49" i="3" s="1"/>
  <c r="I49" i="3" s="1"/>
  <c r="N49" i="3" s="1"/>
  <c r="E50" i="3"/>
  <c r="G50" i="3" s="1"/>
  <c r="I50" i="3" s="1"/>
  <c r="N50" i="3" s="1"/>
  <c r="E51" i="3"/>
  <c r="G51" i="3" s="1"/>
  <c r="I51" i="3" s="1"/>
  <c r="N51" i="3" s="1"/>
  <c r="E52" i="3"/>
  <c r="G52" i="3" s="1"/>
  <c r="I52" i="3" s="1"/>
  <c r="N52" i="3" s="1"/>
  <c r="E53" i="3"/>
  <c r="G53" i="3" s="1"/>
  <c r="I53" i="3" s="1"/>
  <c r="N53" i="3" s="1"/>
  <c r="E54" i="3"/>
  <c r="G54" i="3" s="1"/>
  <c r="I54" i="3" s="1"/>
  <c r="N54" i="3" s="1"/>
  <c r="E55" i="3"/>
  <c r="G55" i="3" s="1"/>
  <c r="I55" i="3" s="1"/>
  <c r="N55" i="3" s="1"/>
  <c r="E56" i="3"/>
  <c r="G56" i="3" s="1"/>
  <c r="I56" i="3" s="1"/>
  <c r="N56" i="3" s="1"/>
  <c r="E57" i="3"/>
  <c r="G57" i="3" s="1"/>
  <c r="I57" i="3" s="1"/>
  <c r="N57" i="3" s="1"/>
  <c r="E58" i="3"/>
  <c r="G58" i="3" s="1"/>
  <c r="I58" i="3" s="1"/>
  <c r="N58" i="3" s="1"/>
  <c r="E59" i="3"/>
  <c r="G59" i="3" s="1"/>
  <c r="I59" i="3" s="1"/>
  <c r="N59" i="3" s="1"/>
  <c r="E61" i="3"/>
  <c r="G61" i="3" s="1"/>
  <c r="I61" i="3" s="1"/>
  <c r="N61" i="3" s="1"/>
  <c r="E62" i="3"/>
  <c r="G62" i="3" s="1"/>
  <c r="I62" i="3" s="1"/>
  <c r="N62" i="3" s="1"/>
  <c r="E63" i="3"/>
  <c r="G63" i="3" s="1"/>
  <c r="I63" i="3" s="1"/>
  <c r="N63" i="3" s="1"/>
  <c r="E64" i="3"/>
  <c r="G64" i="3" s="1"/>
  <c r="I64" i="3" s="1"/>
  <c r="N64" i="3" s="1"/>
  <c r="E65" i="3"/>
  <c r="G65" i="3" s="1"/>
  <c r="I65" i="3" s="1"/>
  <c r="N65" i="3" s="1"/>
  <c r="E66" i="3"/>
  <c r="G66" i="3" s="1"/>
  <c r="I66" i="3" s="1"/>
  <c r="N66" i="3" s="1"/>
  <c r="E67" i="3"/>
  <c r="G67" i="3" s="1"/>
  <c r="I67" i="3" s="1"/>
  <c r="N67" i="3" s="1"/>
  <c r="E68" i="3"/>
  <c r="G68" i="3" s="1"/>
  <c r="I68" i="3" s="1"/>
  <c r="N68" i="3" s="1"/>
  <c r="E69" i="3"/>
  <c r="G69" i="3" s="1"/>
  <c r="I69" i="3" s="1"/>
  <c r="N69" i="3" s="1"/>
  <c r="E70" i="3"/>
  <c r="G70" i="3" s="1"/>
  <c r="I70" i="3" s="1"/>
  <c r="N70" i="3" s="1"/>
  <c r="E71" i="3"/>
  <c r="G71" i="3" s="1"/>
  <c r="I71" i="3" s="1"/>
  <c r="N71" i="3" s="1"/>
  <c r="E72" i="3"/>
  <c r="G72" i="3" s="1"/>
  <c r="I72" i="3" s="1"/>
  <c r="N72" i="3" s="1"/>
  <c r="E73" i="3"/>
  <c r="G73" i="3" s="1"/>
  <c r="I73" i="3" s="1"/>
  <c r="N73" i="3" s="1"/>
  <c r="E74" i="3"/>
  <c r="G74" i="3" s="1"/>
  <c r="I74" i="3" s="1"/>
  <c r="N74" i="3" s="1"/>
  <c r="E75" i="3"/>
  <c r="G75" i="3" s="1"/>
  <c r="I75" i="3" s="1"/>
  <c r="N75" i="3" s="1"/>
  <c r="E76" i="3"/>
  <c r="G76" i="3" s="1"/>
  <c r="I76" i="3" s="1"/>
  <c r="N76" i="3" s="1"/>
  <c r="E77" i="3"/>
  <c r="G77" i="3" s="1"/>
  <c r="I77" i="3" s="1"/>
  <c r="N77" i="3" s="1"/>
  <c r="E78" i="3"/>
  <c r="G78" i="3" s="1"/>
  <c r="I78" i="3" s="1"/>
  <c r="N78" i="3" s="1"/>
  <c r="E79" i="3"/>
  <c r="G79" i="3" s="1"/>
  <c r="I79" i="3" s="1"/>
  <c r="N79" i="3" s="1"/>
  <c r="E80" i="3"/>
  <c r="G80" i="3" s="1"/>
  <c r="I80" i="3" s="1"/>
  <c r="N80" i="3" s="1"/>
  <c r="E81" i="3"/>
  <c r="G81" i="3" s="1"/>
  <c r="I81" i="3" s="1"/>
  <c r="N81" i="3" s="1"/>
  <c r="E82" i="3"/>
  <c r="G82" i="3" s="1"/>
  <c r="I82" i="3" s="1"/>
  <c r="N82" i="3" s="1"/>
  <c r="E83" i="3"/>
  <c r="G83" i="3" s="1"/>
  <c r="I83" i="3" s="1"/>
  <c r="N83" i="3" s="1"/>
  <c r="E84" i="3"/>
  <c r="G84" i="3" s="1"/>
  <c r="I84" i="3" s="1"/>
  <c r="N84" i="3" s="1"/>
  <c r="E85" i="3"/>
  <c r="G85" i="3" s="1"/>
  <c r="I85" i="3" s="1"/>
  <c r="N85" i="3" s="1"/>
  <c r="E86" i="3"/>
  <c r="G86" i="3" s="1"/>
  <c r="I86" i="3" s="1"/>
  <c r="N86" i="3" s="1"/>
  <c r="E87" i="3"/>
  <c r="G87" i="3" s="1"/>
  <c r="I87" i="3" s="1"/>
  <c r="N87" i="3" s="1"/>
  <c r="E88" i="3"/>
  <c r="G88" i="3" s="1"/>
  <c r="I88" i="3" s="1"/>
  <c r="N88" i="3" s="1"/>
  <c r="E89" i="3"/>
  <c r="G89" i="3" s="1"/>
  <c r="I89" i="3" s="1"/>
  <c r="N89" i="3" s="1"/>
  <c r="E90" i="3"/>
  <c r="G90" i="3" s="1"/>
  <c r="I90" i="3" s="1"/>
  <c r="N90" i="3" s="1"/>
  <c r="E91" i="3"/>
  <c r="G91" i="3" s="1"/>
  <c r="I91" i="3" s="1"/>
  <c r="N91" i="3" s="1"/>
  <c r="E92" i="3"/>
  <c r="G92" i="3" s="1"/>
  <c r="I92" i="3" s="1"/>
  <c r="N92" i="3" s="1"/>
  <c r="E93" i="3"/>
  <c r="G93" i="3" s="1"/>
  <c r="I93" i="3" s="1"/>
  <c r="N93" i="3" s="1"/>
  <c r="E94" i="3"/>
  <c r="G94" i="3" s="1"/>
  <c r="I94" i="3" s="1"/>
  <c r="N94" i="3" s="1"/>
  <c r="E95" i="3"/>
  <c r="G95" i="3" s="1"/>
  <c r="I95" i="3" s="1"/>
  <c r="N95" i="3" s="1"/>
  <c r="E96" i="3"/>
  <c r="G96" i="3" s="1"/>
  <c r="I96" i="3" s="1"/>
  <c r="N96" i="3" s="1"/>
  <c r="E97" i="3"/>
  <c r="G97" i="3" s="1"/>
  <c r="I97" i="3" s="1"/>
  <c r="N97" i="3" s="1"/>
  <c r="E98" i="3"/>
  <c r="G98" i="3" s="1"/>
  <c r="I98" i="3" s="1"/>
  <c r="N98" i="3" s="1"/>
  <c r="E99" i="3"/>
  <c r="G99" i="3" s="1"/>
  <c r="I99" i="3" s="1"/>
  <c r="N99" i="3" s="1"/>
  <c r="E100" i="3"/>
  <c r="G100" i="3" s="1"/>
  <c r="I100" i="3" s="1"/>
  <c r="N100" i="3" s="1"/>
  <c r="E101" i="3"/>
  <c r="G101" i="3" s="1"/>
  <c r="I101" i="3" s="1"/>
  <c r="N101" i="3" s="1"/>
  <c r="E102" i="3"/>
  <c r="G102" i="3" s="1"/>
  <c r="I102" i="3" s="1"/>
  <c r="N102" i="3" s="1"/>
  <c r="E103" i="3"/>
  <c r="G103" i="3" s="1"/>
  <c r="I103" i="3" s="1"/>
  <c r="N103" i="3" s="1"/>
  <c r="E104" i="3"/>
  <c r="G104" i="3" s="1"/>
  <c r="I104" i="3" s="1"/>
  <c r="N104" i="3" s="1"/>
  <c r="E105" i="3"/>
  <c r="G105" i="3" s="1"/>
  <c r="I105" i="3" s="1"/>
  <c r="N105" i="3" s="1"/>
  <c r="E106" i="3"/>
  <c r="G106" i="3" s="1"/>
  <c r="I106" i="3" s="1"/>
  <c r="N106" i="3" s="1"/>
  <c r="E107" i="3"/>
  <c r="G107" i="3" s="1"/>
  <c r="I107" i="3" s="1"/>
  <c r="N107" i="3" s="1"/>
  <c r="E108" i="3"/>
  <c r="G108" i="3" s="1"/>
  <c r="I108" i="3" s="1"/>
  <c r="N108" i="3" s="1"/>
  <c r="E109" i="3"/>
  <c r="G109" i="3" s="1"/>
  <c r="I109" i="3" s="1"/>
  <c r="N109" i="3" s="1"/>
  <c r="E110" i="3"/>
  <c r="G110" i="3" s="1"/>
  <c r="I110" i="3" s="1"/>
  <c r="N110" i="3" s="1"/>
  <c r="E111" i="3"/>
  <c r="G111" i="3" s="1"/>
  <c r="I111" i="3" s="1"/>
  <c r="N111" i="3" s="1"/>
  <c r="E112" i="3"/>
  <c r="G112" i="3" s="1"/>
  <c r="I112" i="3" s="1"/>
  <c r="N112" i="3" s="1"/>
  <c r="E114" i="3"/>
  <c r="E115" i="3"/>
  <c r="E116" i="3"/>
  <c r="E117" i="3"/>
  <c r="G117" i="3" s="1"/>
  <c r="I117" i="3" s="1"/>
  <c r="N117" i="3" s="1"/>
  <c r="E118" i="3"/>
  <c r="G118" i="3" s="1"/>
  <c r="I118" i="3" s="1"/>
  <c r="N118" i="3" s="1"/>
  <c r="E119" i="3"/>
  <c r="G119" i="3" s="1"/>
  <c r="I119" i="3" s="1"/>
  <c r="N119" i="3" s="1"/>
  <c r="E120" i="3"/>
  <c r="G120" i="3" s="1"/>
  <c r="I120" i="3" s="1"/>
  <c r="N120" i="3" s="1"/>
  <c r="E121" i="3"/>
  <c r="G121" i="3" s="1"/>
  <c r="I121" i="3" s="1"/>
  <c r="N121" i="3" s="1"/>
  <c r="E122" i="3"/>
  <c r="G122" i="3" s="1"/>
  <c r="I122" i="3" s="1"/>
  <c r="N122" i="3" s="1"/>
  <c r="E123" i="3"/>
  <c r="G123" i="3" s="1"/>
  <c r="I123" i="3" s="1"/>
  <c r="N123" i="3" s="1"/>
  <c r="E124" i="3"/>
  <c r="G124" i="3" s="1"/>
  <c r="I124" i="3" s="1"/>
  <c r="N124" i="3" s="1"/>
  <c r="E126" i="3"/>
  <c r="E128" i="3"/>
  <c r="E129" i="3"/>
  <c r="E130" i="3"/>
  <c r="E131" i="3"/>
  <c r="E132" i="3"/>
  <c r="E133" i="3"/>
  <c r="E134" i="3"/>
  <c r="E135" i="3"/>
  <c r="E137" i="3"/>
  <c r="E138" i="3"/>
  <c r="E139" i="3"/>
  <c r="E140" i="3"/>
  <c r="G140" i="3" s="1"/>
  <c r="E141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F155" i="3" s="1"/>
  <c r="E157" i="3"/>
  <c r="E158" i="3"/>
  <c r="E159" i="3"/>
  <c r="E166" i="3"/>
  <c r="E167" i="3"/>
  <c r="G167" i="3" s="1"/>
  <c r="I167" i="3" s="1"/>
  <c r="N167" i="3" s="1"/>
  <c r="E173" i="3"/>
  <c r="E174" i="3"/>
  <c r="E175" i="3"/>
  <c r="E176" i="3"/>
  <c r="G176" i="3" s="1"/>
  <c r="I176" i="3" s="1"/>
  <c r="N176" i="3" s="1"/>
  <c r="E177" i="3"/>
  <c r="G177" i="3" s="1"/>
  <c r="I177" i="3" s="1"/>
  <c r="N177" i="3" s="1"/>
  <c r="E178" i="3"/>
  <c r="G178" i="3" s="1"/>
  <c r="I178" i="3" s="1"/>
  <c r="N178" i="3" s="1"/>
  <c r="E179" i="3"/>
  <c r="G179" i="3" s="1"/>
  <c r="I179" i="3" s="1"/>
  <c r="N179" i="3" s="1"/>
  <c r="E180" i="3"/>
  <c r="G180" i="3" s="1"/>
  <c r="I180" i="3" s="1"/>
  <c r="N180" i="3" s="1"/>
  <c r="E181" i="3"/>
  <c r="G181" i="3" s="1"/>
  <c r="I181" i="3" s="1"/>
  <c r="N181" i="3" s="1"/>
  <c r="E182" i="3"/>
  <c r="G182" i="3" s="1"/>
  <c r="I182" i="3" s="1"/>
  <c r="N182" i="3" s="1"/>
  <c r="E183" i="3"/>
  <c r="G183" i="3" s="1"/>
  <c r="I183" i="3" s="1"/>
  <c r="N183" i="3" s="1"/>
  <c r="E184" i="3"/>
  <c r="G184" i="3" s="1"/>
  <c r="I184" i="3" s="1"/>
  <c r="N184" i="3" s="1"/>
  <c r="E189" i="3"/>
  <c r="E190" i="3"/>
  <c r="E191" i="3"/>
  <c r="E192" i="3"/>
  <c r="E193" i="3"/>
  <c r="G193" i="3" s="1"/>
  <c r="I193" i="3" s="1"/>
  <c r="N193" i="3" s="1"/>
  <c r="E194" i="3"/>
  <c r="G194" i="3" s="1"/>
  <c r="I194" i="3" s="1"/>
  <c r="N194" i="3" s="1"/>
  <c r="E195" i="3"/>
  <c r="G195" i="3" s="1"/>
  <c r="I195" i="3" s="1"/>
  <c r="N195" i="3" s="1"/>
  <c r="E196" i="3"/>
  <c r="G196" i="3" s="1"/>
  <c r="I196" i="3" s="1"/>
  <c r="N196" i="3" s="1"/>
  <c r="E197" i="3"/>
  <c r="G197" i="3" s="1"/>
  <c r="I197" i="3" s="1"/>
  <c r="N197" i="3" s="1"/>
  <c r="E198" i="3"/>
  <c r="G198" i="3" s="1"/>
  <c r="I198" i="3" s="1"/>
  <c r="N198" i="3" s="1"/>
  <c r="E199" i="3"/>
  <c r="G199" i="3" s="1"/>
  <c r="I199" i="3" s="1"/>
  <c r="N199" i="3" s="1"/>
  <c r="E200" i="3"/>
  <c r="G200" i="3" s="1"/>
  <c r="I200" i="3" s="1"/>
  <c r="N200" i="3" s="1"/>
  <c r="E205" i="3"/>
  <c r="E206" i="3"/>
  <c r="E207" i="3"/>
  <c r="G207" i="3" s="1"/>
  <c r="I207" i="3" s="1"/>
  <c r="N207" i="3" s="1"/>
  <c r="E208" i="3"/>
  <c r="G208" i="3" s="1"/>
  <c r="I208" i="3" s="1"/>
  <c r="N208" i="3" s="1"/>
  <c r="E209" i="3"/>
  <c r="G209" i="3" s="1"/>
  <c r="I209" i="3" s="1"/>
  <c r="N209" i="3" s="1"/>
  <c r="E210" i="3"/>
  <c r="G210" i="3" s="1"/>
  <c r="I210" i="3" s="1"/>
  <c r="N210" i="3" s="1"/>
  <c r="E211" i="3"/>
  <c r="G211" i="3" s="1"/>
  <c r="I211" i="3" s="1"/>
  <c r="N211" i="3" s="1"/>
  <c r="E212" i="3"/>
  <c r="G212" i="3" s="1"/>
  <c r="I212" i="3" s="1"/>
  <c r="N212" i="3" s="1"/>
  <c r="E213" i="3"/>
  <c r="G213" i="3" s="1"/>
  <c r="I213" i="3" s="1"/>
  <c r="N213" i="3" s="1"/>
  <c r="E214" i="3"/>
  <c r="G214" i="3" s="1"/>
  <c r="I214" i="3" s="1"/>
  <c r="N214" i="3" s="1"/>
  <c r="E215" i="3"/>
  <c r="G215" i="3" s="1"/>
  <c r="I215" i="3" s="1"/>
  <c r="N215" i="3" s="1"/>
  <c r="E216" i="3"/>
  <c r="G216" i="3" s="1"/>
  <c r="I216" i="3" s="1"/>
  <c r="N216" i="3" s="1"/>
  <c r="E217" i="3"/>
  <c r="G217" i="3" s="1"/>
  <c r="I217" i="3" s="1"/>
  <c r="N217" i="3" s="1"/>
  <c r="E218" i="3"/>
  <c r="G218" i="3" s="1"/>
  <c r="I218" i="3" s="1"/>
  <c r="N218" i="3" s="1"/>
  <c r="E219" i="3"/>
  <c r="G219" i="3" s="1"/>
  <c r="I219" i="3" s="1"/>
  <c r="N219" i="3" s="1"/>
  <c r="E220" i="3"/>
  <c r="G220" i="3" s="1"/>
  <c r="I220" i="3" s="1"/>
  <c r="N220" i="3" s="1"/>
  <c r="E221" i="3"/>
  <c r="G221" i="3" s="1"/>
  <c r="I221" i="3" s="1"/>
  <c r="N221" i="3" s="1"/>
  <c r="E222" i="3"/>
  <c r="G222" i="3" s="1"/>
  <c r="I222" i="3" s="1"/>
  <c r="N222" i="3" s="1"/>
  <c r="E223" i="3"/>
  <c r="G223" i="3" s="1"/>
  <c r="E225" i="3"/>
  <c r="E227" i="3"/>
  <c r="E229" i="3"/>
  <c r="E10" i="3"/>
  <c r="G10" i="3" s="1"/>
  <c r="I10" i="3" s="1"/>
  <c r="N10" i="3" s="1"/>
  <c r="E12" i="3"/>
  <c r="E9" i="3"/>
  <c r="G9" i="3" s="1"/>
  <c r="I9" i="3" s="1"/>
  <c r="N9" i="3" s="1"/>
  <c r="D26" i="2"/>
  <c r="D42" i="2" s="1"/>
  <c r="D158" i="2"/>
  <c r="D173" i="2" s="1"/>
  <c r="D242" i="2"/>
  <c r="D257" i="2" s="1"/>
  <c r="D282" i="2"/>
  <c r="D298" i="2" s="1"/>
  <c r="D339" i="2"/>
  <c r="D358" i="2"/>
  <c r="E363" i="2"/>
  <c r="E361" i="2"/>
  <c r="E359" i="2"/>
  <c r="E357" i="2"/>
  <c r="G357" i="2" s="1"/>
  <c r="I357" i="2" s="1"/>
  <c r="N357" i="2" s="1"/>
  <c r="E356" i="2"/>
  <c r="G356" i="2" s="1"/>
  <c r="I356" i="2" s="1"/>
  <c r="N356" i="2" s="1"/>
  <c r="E355" i="2"/>
  <c r="G355" i="2" s="1"/>
  <c r="I355" i="2" s="1"/>
  <c r="N355" i="2" s="1"/>
  <c r="E354" i="2"/>
  <c r="G354" i="2" s="1"/>
  <c r="I354" i="2" s="1"/>
  <c r="N354" i="2" s="1"/>
  <c r="E353" i="2"/>
  <c r="G353" i="2" s="1"/>
  <c r="I353" i="2" s="1"/>
  <c r="N353" i="2" s="1"/>
  <c r="E352" i="2"/>
  <c r="G352" i="2" s="1"/>
  <c r="I352" i="2" s="1"/>
  <c r="N352" i="2" s="1"/>
  <c r="E351" i="2"/>
  <c r="G351" i="2" s="1"/>
  <c r="I351" i="2" s="1"/>
  <c r="N351" i="2" s="1"/>
  <c r="E350" i="2"/>
  <c r="G350" i="2" s="1"/>
  <c r="I350" i="2" s="1"/>
  <c r="N350" i="2" s="1"/>
  <c r="E349" i="2"/>
  <c r="G349" i="2" s="1"/>
  <c r="I349" i="2" s="1"/>
  <c r="N349" i="2" s="1"/>
  <c r="E348" i="2"/>
  <c r="G348" i="2" s="1"/>
  <c r="I348" i="2" s="1"/>
  <c r="N348" i="2" s="1"/>
  <c r="E347" i="2"/>
  <c r="G347" i="2" s="1"/>
  <c r="I347" i="2" s="1"/>
  <c r="N347" i="2" s="1"/>
  <c r="E346" i="2"/>
  <c r="G346" i="2" s="1"/>
  <c r="I346" i="2" s="1"/>
  <c r="N346" i="2" s="1"/>
  <c r="E345" i="2"/>
  <c r="G345" i="2" s="1"/>
  <c r="I345" i="2" s="1"/>
  <c r="N345" i="2" s="1"/>
  <c r="E344" i="2"/>
  <c r="G344" i="2" s="1"/>
  <c r="I344" i="2" s="1"/>
  <c r="N344" i="2" s="1"/>
  <c r="E343" i="2"/>
  <c r="G343" i="2" s="1"/>
  <c r="I343" i="2" s="1"/>
  <c r="N343" i="2" s="1"/>
  <c r="E342" i="2"/>
  <c r="G342" i="2" s="1"/>
  <c r="I342" i="2" s="1"/>
  <c r="N342" i="2" s="1"/>
  <c r="E341" i="2"/>
  <c r="E340" i="2"/>
  <c r="E338" i="2"/>
  <c r="E337" i="2"/>
  <c r="G337" i="2" s="1"/>
  <c r="I337" i="2" s="1"/>
  <c r="N337" i="2" s="1"/>
  <c r="E336" i="2"/>
  <c r="G336" i="2" s="1"/>
  <c r="I336" i="2" s="1"/>
  <c r="N336" i="2" s="1"/>
  <c r="E334" i="2"/>
  <c r="G334" i="2" s="1"/>
  <c r="I334" i="2" s="1"/>
  <c r="N334" i="2" s="1"/>
  <c r="E330" i="2"/>
  <c r="G330" i="2" s="1"/>
  <c r="I330" i="2" s="1"/>
  <c r="N330" i="2" s="1"/>
  <c r="E329" i="2"/>
  <c r="G329" i="2" s="1"/>
  <c r="I329" i="2" s="1"/>
  <c r="N329" i="2" s="1"/>
  <c r="E328" i="2"/>
  <c r="G328" i="2" s="1"/>
  <c r="I328" i="2" s="1"/>
  <c r="N328" i="2" s="1"/>
  <c r="E327" i="2"/>
  <c r="G327" i="2" s="1"/>
  <c r="I327" i="2" s="1"/>
  <c r="N327" i="2" s="1"/>
  <c r="E326" i="2"/>
  <c r="G326" i="2" s="1"/>
  <c r="I326" i="2" s="1"/>
  <c r="N326" i="2" s="1"/>
  <c r="E325" i="2"/>
  <c r="G325" i="2" s="1"/>
  <c r="I325" i="2" s="1"/>
  <c r="N325" i="2" s="1"/>
  <c r="E324" i="2"/>
  <c r="G324" i="2" s="1"/>
  <c r="I324" i="2" s="1"/>
  <c r="N324" i="2" s="1"/>
  <c r="E323" i="2"/>
  <c r="G323" i="2" s="1"/>
  <c r="I323" i="2" s="1"/>
  <c r="N323" i="2" s="1"/>
  <c r="E322" i="2"/>
  <c r="G322" i="2" s="1"/>
  <c r="I322" i="2" s="1"/>
  <c r="N322" i="2" s="1"/>
  <c r="E321" i="2"/>
  <c r="G321" i="2" s="1"/>
  <c r="I321" i="2" s="1"/>
  <c r="N321" i="2" s="1"/>
  <c r="E320" i="2"/>
  <c r="G320" i="2" s="1"/>
  <c r="I320" i="2" s="1"/>
  <c r="N320" i="2" s="1"/>
  <c r="E319" i="2"/>
  <c r="G319" i="2" s="1"/>
  <c r="I319" i="2" s="1"/>
  <c r="N319" i="2" s="1"/>
  <c r="E318" i="2"/>
  <c r="G318" i="2" s="1"/>
  <c r="I318" i="2" s="1"/>
  <c r="N318" i="2" s="1"/>
  <c r="E317" i="2"/>
  <c r="G317" i="2" s="1"/>
  <c r="I317" i="2" s="1"/>
  <c r="N317" i="2" s="1"/>
  <c r="E316" i="2"/>
  <c r="G316" i="2" s="1"/>
  <c r="I316" i="2" s="1"/>
  <c r="N316" i="2" s="1"/>
  <c r="E315" i="2"/>
  <c r="G315" i="2" s="1"/>
  <c r="I315" i="2" s="1"/>
  <c r="N315" i="2" s="1"/>
  <c r="E314" i="2"/>
  <c r="G314" i="2" s="1"/>
  <c r="I314" i="2" s="1"/>
  <c r="N314" i="2" s="1"/>
  <c r="E313" i="2"/>
  <c r="G313" i="2" s="1"/>
  <c r="I313" i="2" s="1"/>
  <c r="N313" i="2" s="1"/>
  <c r="E312" i="2"/>
  <c r="G312" i="2" s="1"/>
  <c r="I312" i="2" s="1"/>
  <c r="N312" i="2" s="1"/>
  <c r="E311" i="2"/>
  <c r="G311" i="2" s="1"/>
  <c r="I311" i="2" s="1"/>
  <c r="N311" i="2" s="1"/>
  <c r="E310" i="2"/>
  <c r="G310" i="2" s="1"/>
  <c r="I310" i="2" s="1"/>
  <c r="N310" i="2" s="1"/>
  <c r="E309" i="2"/>
  <c r="G309" i="2" s="1"/>
  <c r="I309" i="2" s="1"/>
  <c r="N309" i="2" s="1"/>
  <c r="E308" i="2"/>
  <c r="G308" i="2" s="1"/>
  <c r="I308" i="2" s="1"/>
  <c r="N308" i="2" s="1"/>
  <c r="E307" i="2"/>
  <c r="E306" i="2"/>
  <c r="E301" i="2"/>
  <c r="E300" i="2"/>
  <c r="E299" i="2"/>
  <c r="E297" i="2"/>
  <c r="E295" i="2"/>
  <c r="G295" i="2" s="1"/>
  <c r="I295" i="2" s="1"/>
  <c r="N295" i="2" s="1"/>
  <c r="E294" i="2"/>
  <c r="G294" i="2" s="1"/>
  <c r="I294" i="2" s="1"/>
  <c r="N294" i="2" s="1"/>
  <c r="E293" i="2"/>
  <c r="G293" i="2" s="1"/>
  <c r="I293" i="2" s="1"/>
  <c r="N293" i="2" s="1"/>
  <c r="E292" i="2"/>
  <c r="G292" i="2" s="1"/>
  <c r="I292" i="2" s="1"/>
  <c r="N292" i="2" s="1"/>
  <c r="E291" i="2"/>
  <c r="G291" i="2" s="1"/>
  <c r="I291" i="2" s="1"/>
  <c r="N291" i="2" s="1"/>
  <c r="E290" i="2"/>
  <c r="G290" i="2" s="1"/>
  <c r="I290" i="2" s="1"/>
  <c r="N290" i="2" s="1"/>
  <c r="E289" i="2"/>
  <c r="G289" i="2" s="1"/>
  <c r="I289" i="2" s="1"/>
  <c r="N289" i="2" s="1"/>
  <c r="E288" i="2"/>
  <c r="G288" i="2" s="1"/>
  <c r="I288" i="2" s="1"/>
  <c r="N288" i="2" s="1"/>
  <c r="E287" i="2"/>
  <c r="G287" i="2" s="1"/>
  <c r="I287" i="2" s="1"/>
  <c r="N287" i="2" s="1"/>
  <c r="E286" i="2"/>
  <c r="G286" i="2" s="1"/>
  <c r="I286" i="2" s="1"/>
  <c r="N286" i="2" s="1"/>
  <c r="E285" i="2"/>
  <c r="G285" i="2" s="1"/>
  <c r="I285" i="2" s="1"/>
  <c r="N285" i="2" s="1"/>
  <c r="E284" i="2"/>
  <c r="E283" i="2"/>
  <c r="E281" i="2"/>
  <c r="G281" i="2" s="1"/>
  <c r="E280" i="2"/>
  <c r="G280" i="2" s="1"/>
  <c r="I280" i="2" s="1"/>
  <c r="N280" i="2" s="1"/>
  <c r="E279" i="2"/>
  <c r="G279" i="2" s="1"/>
  <c r="I279" i="2" s="1"/>
  <c r="N279" i="2" s="1"/>
  <c r="E278" i="2"/>
  <c r="G278" i="2" s="1"/>
  <c r="I278" i="2" s="1"/>
  <c r="N278" i="2" s="1"/>
  <c r="E277" i="2"/>
  <c r="G277" i="2" s="1"/>
  <c r="I277" i="2" s="1"/>
  <c r="N277" i="2" s="1"/>
  <c r="E276" i="2"/>
  <c r="G276" i="2" s="1"/>
  <c r="I276" i="2" s="1"/>
  <c r="N276" i="2" s="1"/>
  <c r="E275" i="2"/>
  <c r="G275" i="2" s="1"/>
  <c r="I275" i="2" s="1"/>
  <c r="N275" i="2" s="1"/>
  <c r="E274" i="2"/>
  <c r="G274" i="2" s="1"/>
  <c r="I274" i="2" s="1"/>
  <c r="N274" i="2" s="1"/>
  <c r="E272" i="2"/>
  <c r="G272" i="2" s="1"/>
  <c r="I272" i="2" s="1"/>
  <c r="N272" i="2" s="1"/>
  <c r="E271" i="2"/>
  <c r="G271" i="2" s="1"/>
  <c r="I271" i="2" s="1"/>
  <c r="N271" i="2" s="1"/>
  <c r="E270" i="2"/>
  <c r="G270" i="2" s="1"/>
  <c r="I270" i="2" s="1"/>
  <c r="N270" i="2" s="1"/>
  <c r="E269" i="2"/>
  <c r="G269" i="2" s="1"/>
  <c r="I269" i="2" s="1"/>
  <c r="N269" i="2" s="1"/>
  <c r="E268" i="2"/>
  <c r="G268" i="2" s="1"/>
  <c r="I268" i="2" s="1"/>
  <c r="N268" i="2" s="1"/>
  <c r="E267" i="2"/>
  <c r="G267" i="2" s="1"/>
  <c r="I267" i="2" s="1"/>
  <c r="N267" i="2" s="1"/>
  <c r="E266" i="2"/>
  <c r="G266" i="2" s="1"/>
  <c r="I266" i="2" s="1"/>
  <c r="N266" i="2" s="1"/>
  <c r="E265" i="2"/>
  <c r="G265" i="2" s="1"/>
  <c r="I265" i="2" s="1"/>
  <c r="N265" i="2" s="1"/>
  <c r="E263" i="2"/>
  <c r="G263" i="2" s="1"/>
  <c r="I263" i="2" s="1"/>
  <c r="N263" i="2" s="1"/>
  <c r="E262" i="2"/>
  <c r="G262" i="2" s="1"/>
  <c r="I262" i="2" s="1"/>
  <c r="N262" i="2" s="1"/>
  <c r="E261" i="2"/>
  <c r="E260" i="2"/>
  <c r="E259" i="2"/>
  <c r="E258" i="2"/>
  <c r="E256" i="2"/>
  <c r="E254" i="2"/>
  <c r="E253" i="2"/>
  <c r="G253" i="2" s="1"/>
  <c r="I253" i="2" s="1"/>
  <c r="N253" i="2" s="1"/>
  <c r="E252" i="2"/>
  <c r="G252" i="2" s="1"/>
  <c r="I252" i="2" s="1"/>
  <c r="N252" i="2" s="1"/>
  <c r="E251" i="2"/>
  <c r="G251" i="2" s="1"/>
  <c r="I251" i="2" s="1"/>
  <c r="N251" i="2" s="1"/>
  <c r="E250" i="2"/>
  <c r="G250" i="2" s="1"/>
  <c r="I250" i="2" s="1"/>
  <c r="N250" i="2" s="1"/>
  <c r="E249" i="2"/>
  <c r="G249" i="2" s="1"/>
  <c r="I249" i="2" s="1"/>
  <c r="N249" i="2" s="1"/>
  <c r="E248" i="2"/>
  <c r="G248" i="2" s="1"/>
  <c r="I248" i="2" s="1"/>
  <c r="N248" i="2" s="1"/>
  <c r="E247" i="2"/>
  <c r="G247" i="2" s="1"/>
  <c r="I247" i="2" s="1"/>
  <c r="N247" i="2" s="1"/>
  <c r="E246" i="2"/>
  <c r="G246" i="2" s="1"/>
  <c r="I246" i="2" s="1"/>
  <c r="N246" i="2" s="1"/>
  <c r="E245" i="2"/>
  <c r="E244" i="2"/>
  <c r="E243" i="2"/>
  <c r="E241" i="2"/>
  <c r="G241" i="2" s="1"/>
  <c r="I241" i="2" s="1"/>
  <c r="N241" i="2" s="1"/>
  <c r="E240" i="2"/>
  <c r="G240" i="2" s="1"/>
  <c r="I240" i="2" s="1"/>
  <c r="N240" i="2" s="1"/>
  <c r="E239" i="2"/>
  <c r="G239" i="2" s="1"/>
  <c r="I239" i="2" s="1"/>
  <c r="N239" i="2" s="1"/>
  <c r="E238" i="2"/>
  <c r="G238" i="2" s="1"/>
  <c r="I238" i="2" s="1"/>
  <c r="N238" i="2" s="1"/>
  <c r="E237" i="2"/>
  <c r="G237" i="2" s="1"/>
  <c r="I237" i="2" s="1"/>
  <c r="N237" i="2" s="1"/>
  <c r="E236" i="2"/>
  <c r="G236" i="2" s="1"/>
  <c r="I236" i="2" s="1"/>
  <c r="N236" i="2" s="1"/>
  <c r="E235" i="2"/>
  <c r="G235" i="2" s="1"/>
  <c r="I235" i="2" s="1"/>
  <c r="N235" i="2" s="1"/>
  <c r="E234" i="2"/>
  <c r="G234" i="2" s="1"/>
  <c r="I234" i="2" s="1"/>
  <c r="N234" i="2" s="1"/>
  <c r="E233" i="2"/>
  <c r="G233" i="2" s="1"/>
  <c r="I233" i="2" s="1"/>
  <c r="N233" i="2" s="1"/>
  <c r="E232" i="2"/>
  <c r="G232" i="2" s="1"/>
  <c r="I232" i="2" s="1"/>
  <c r="N232" i="2" s="1"/>
  <c r="E231" i="2"/>
  <c r="G231" i="2" s="1"/>
  <c r="I231" i="2" s="1"/>
  <c r="N231" i="2" s="1"/>
  <c r="E230" i="2"/>
  <c r="G230" i="2" s="1"/>
  <c r="I230" i="2" s="1"/>
  <c r="N230" i="2" s="1"/>
  <c r="E229" i="2"/>
  <c r="G229" i="2" s="1"/>
  <c r="I229" i="2" s="1"/>
  <c r="N229" i="2" s="1"/>
  <c r="E228" i="2"/>
  <c r="G228" i="2" s="1"/>
  <c r="I228" i="2" s="1"/>
  <c r="N228" i="2" s="1"/>
  <c r="E227" i="2"/>
  <c r="G227" i="2" s="1"/>
  <c r="I227" i="2" s="1"/>
  <c r="N227" i="2" s="1"/>
  <c r="E226" i="2"/>
  <c r="G226" i="2" s="1"/>
  <c r="I226" i="2" s="1"/>
  <c r="N226" i="2" s="1"/>
  <c r="E225" i="2"/>
  <c r="G225" i="2" s="1"/>
  <c r="I225" i="2" s="1"/>
  <c r="N225" i="2" s="1"/>
  <c r="E224" i="2"/>
  <c r="G224" i="2" s="1"/>
  <c r="I224" i="2" s="1"/>
  <c r="N224" i="2" s="1"/>
  <c r="E223" i="2"/>
  <c r="G223" i="2" s="1"/>
  <c r="I223" i="2" s="1"/>
  <c r="N223" i="2" s="1"/>
  <c r="E222" i="2"/>
  <c r="G222" i="2" s="1"/>
  <c r="I222" i="2" s="1"/>
  <c r="N222" i="2" s="1"/>
  <c r="E221" i="2"/>
  <c r="G221" i="2" s="1"/>
  <c r="I221" i="2" s="1"/>
  <c r="N221" i="2" s="1"/>
  <c r="E220" i="2"/>
  <c r="G220" i="2" s="1"/>
  <c r="I220" i="2" s="1"/>
  <c r="N220" i="2" s="1"/>
  <c r="E219" i="2"/>
  <c r="G219" i="2" s="1"/>
  <c r="I219" i="2" s="1"/>
  <c r="N219" i="2" s="1"/>
  <c r="E218" i="2"/>
  <c r="G218" i="2" s="1"/>
  <c r="I218" i="2" s="1"/>
  <c r="N218" i="2" s="1"/>
  <c r="E217" i="2"/>
  <c r="G217" i="2" s="1"/>
  <c r="I217" i="2" s="1"/>
  <c r="N217" i="2" s="1"/>
  <c r="E216" i="2"/>
  <c r="G216" i="2" s="1"/>
  <c r="I216" i="2" s="1"/>
  <c r="N216" i="2" s="1"/>
  <c r="E215" i="2"/>
  <c r="G215" i="2" s="1"/>
  <c r="I215" i="2" s="1"/>
  <c r="N215" i="2" s="1"/>
  <c r="E214" i="2"/>
  <c r="G214" i="2" s="1"/>
  <c r="I214" i="2" s="1"/>
  <c r="N214" i="2" s="1"/>
  <c r="E213" i="2"/>
  <c r="G213" i="2" s="1"/>
  <c r="I213" i="2" s="1"/>
  <c r="N213" i="2" s="1"/>
  <c r="E212" i="2"/>
  <c r="G212" i="2" s="1"/>
  <c r="I212" i="2" s="1"/>
  <c r="N212" i="2" s="1"/>
  <c r="E211" i="2"/>
  <c r="G211" i="2" s="1"/>
  <c r="I211" i="2" s="1"/>
  <c r="N211" i="2" s="1"/>
  <c r="E210" i="2"/>
  <c r="G210" i="2" s="1"/>
  <c r="I210" i="2" s="1"/>
  <c r="N210" i="2" s="1"/>
  <c r="E209" i="2"/>
  <c r="G209" i="2" s="1"/>
  <c r="I209" i="2" s="1"/>
  <c r="N209" i="2" s="1"/>
  <c r="E208" i="2"/>
  <c r="G208" i="2" s="1"/>
  <c r="I208" i="2" s="1"/>
  <c r="N208" i="2" s="1"/>
  <c r="E207" i="2"/>
  <c r="G207" i="2" s="1"/>
  <c r="I207" i="2" s="1"/>
  <c r="N207" i="2" s="1"/>
  <c r="E206" i="2"/>
  <c r="G206" i="2" s="1"/>
  <c r="I206" i="2" s="1"/>
  <c r="N206" i="2" s="1"/>
  <c r="E205" i="2"/>
  <c r="G205" i="2" s="1"/>
  <c r="I205" i="2" s="1"/>
  <c r="N205" i="2" s="1"/>
  <c r="E204" i="2"/>
  <c r="G204" i="2" s="1"/>
  <c r="I204" i="2" s="1"/>
  <c r="N204" i="2" s="1"/>
  <c r="E203" i="2"/>
  <c r="G203" i="2" s="1"/>
  <c r="I203" i="2" s="1"/>
  <c r="N203" i="2" s="1"/>
  <c r="E202" i="2"/>
  <c r="G202" i="2" s="1"/>
  <c r="I202" i="2" s="1"/>
  <c r="N202" i="2" s="1"/>
  <c r="E201" i="2"/>
  <c r="G201" i="2" s="1"/>
  <c r="I201" i="2" s="1"/>
  <c r="N201" i="2" s="1"/>
  <c r="E200" i="2"/>
  <c r="G200" i="2" s="1"/>
  <c r="I200" i="2" s="1"/>
  <c r="N200" i="2" s="1"/>
  <c r="E199" i="2"/>
  <c r="G199" i="2" s="1"/>
  <c r="I199" i="2" s="1"/>
  <c r="N199" i="2" s="1"/>
  <c r="E198" i="2"/>
  <c r="G198" i="2" s="1"/>
  <c r="I198" i="2" s="1"/>
  <c r="N198" i="2" s="1"/>
  <c r="E197" i="2"/>
  <c r="G197" i="2" s="1"/>
  <c r="I197" i="2" s="1"/>
  <c r="N197" i="2" s="1"/>
  <c r="E196" i="2"/>
  <c r="G196" i="2" s="1"/>
  <c r="I196" i="2" s="1"/>
  <c r="N196" i="2" s="1"/>
  <c r="E195" i="2"/>
  <c r="G195" i="2" s="1"/>
  <c r="I195" i="2" s="1"/>
  <c r="N195" i="2" s="1"/>
  <c r="E194" i="2"/>
  <c r="G194" i="2" s="1"/>
  <c r="I194" i="2" s="1"/>
  <c r="N194" i="2" s="1"/>
  <c r="E193" i="2"/>
  <c r="G193" i="2" s="1"/>
  <c r="I193" i="2" s="1"/>
  <c r="N193" i="2" s="1"/>
  <c r="E192" i="2"/>
  <c r="G192" i="2" s="1"/>
  <c r="I192" i="2" s="1"/>
  <c r="N192" i="2" s="1"/>
  <c r="E191" i="2"/>
  <c r="G191" i="2" s="1"/>
  <c r="I191" i="2" s="1"/>
  <c r="N191" i="2" s="1"/>
  <c r="E190" i="2"/>
  <c r="G190" i="2" s="1"/>
  <c r="I190" i="2" s="1"/>
  <c r="N190" i="2" s="1"/>
  <c r="E189" i="2"/>
  <c r="G189" i="2" s="1"/>
  <c r="I189" i="2" s="1"/>
  <c r="N189" i="2" s="1"/>
  <c r="E188" i="2"/>
  <c r="G188" i="2" s="1"/>
  <c r="I188" i="2" s="1"/>
  <c r="N188" i="2" s="1"/>
  <c r="E187" i="2"/>
  <c r="G187" i="2" s="1"/>
  <c r="I187" i="2" s="1"/>
  <c r="N187" i="2" s="1"/>
  <c r="E186" i="2"/>
  <c r="G186" i="2" s="1"/>
  <c r="I186" i="2" s="1"/>
  <c r="N186" i="2" s="1"/>
  <c r="E185" i="2"/>
  <c r="G185" i="2" s="1"/>
  <c r="I185" i="2" s="1"/>
  <c r="N185" i="2" s="1"/>
  <c r="E184" i="2"/>
  <c r="G184" i="2" s="1"/>
  <c r="I184" i="2" s="1"/>
  <c r="N184" i="2" s="1"/>
  <c r="E183" i="2"/>
  <c r="G183" i="2" s="1"/>
  <c r="I183" i="2" s="1"/>
  <c r="N183" i="2" s="1"/>
  <c r="E182" i="2"/>
  <c r="G182" i="2" s="1"/>
  <c r="I182" i="2" s="1"/>
  <c r="N182" i="2" s="1"/>
  <c r="E181" i="2"/>
  <c r="G181" i="2" s="1"/>
  <c r="I181" i="2" s="1"/>
  <c r="N181" i="2" s="1"/>
  <c r="E180" i="2"/>
  <c r="G180" i="2" s="1"/>
  <c r="I180" i="2" s="1"/>
  <c r="N180" i="2" s="1"/>
  <c r="E179" i="2"/>
  <c r="G179" i="2" s="1"/>
  <c r="I179" i="2" s="1"/>
  <c r="N179" i="2" s="1"/>
  <c r="E178" i="2"/>
  <c r="G178" i="2" s="1"/>
  <c r="I178" i="2" s="1"/>
  <c r="N178" i="2" s="1"/>
  <c r="E177" i="2"/>
  <c r="G177" i="2" s="1"/>
  <c r="I177" i="2" s="1"/>
  <c r="N177" i="2" s="1"/>
  <c r="E176" i="2"/>
  <c r="E175" i="2"/>
  <c r="E174" i="2"/>
  <c r="E172" i="2"/>
  <c r="E170" i="2"/>
  <c r="E169" i="2"/>
  <c r="G169" i="2" s="1"/>
  <c r="I169" i="2" s="1"/>
  <c r="N169" i="2" s="1"/>
  <c r="E168" i="2"/>
  <c r="G168" i="2" s="1"/>
  <c r="I168" i="2" s="1"/>
  <c r="N168" i="2" s="1"/>
  <c r="E167" i="2"/>
  <c r="G167" i="2" s="1"/>
  <c r="I167" i="2" s="1"/>
  <c r="N167" i="2" s="1"/>
  <c r="E166" i="2"/>
  <c r="G166" i="2" s="1"/>
  <c r="I166" i="2" s="1"/>
  <c r="N166" i="2" s="1"/>
  <c r="E165" i="2"/>
  <c r="G165" i="2" s="1"/>
  <c r="I165" i="2" s="1"/>
  <c r="N165" i="2" s="1"/>
  <c r="E164" i="2"/>
  <c r="G164" i="2" s="1"/>
  <c r="I164" i="2" s="1"/>
  <c r="N164" i="2" s="1"/>
  <c r="E163" i="2"/>
  <c r="G163" i="2" s="1"/>
  <c r="I163" i="2" s="1"/>
  <c r="N163" i="2" s="1"/>
  <c r="E162" i="2"/>
  <c r="G162" i="2" s="1"/>
  <c r="I162" i="2" s="1"/>
  <c r="N162" i="2" s="1"/>
  <c r="E161" i="2"/>
  <c r="G161" i="2" s="1"/>
  <c r="I161" i="2" s="1"/>
  <c r="N161" i="2" s="1"/>
  <c r="E160" i="2"/>
  <c r="E159" i="2"/>
  <c r="E157" i="2"/>
  <c r="G157" i="2" s="1"/>
  <c r="I157" i="2" s="1"/>
  <c r="N157" i="2" s="1"/>
  <c r="E156" i="2"/>
  <c r="G156" i="2" s="1"/>
  <c r="I156" i="2" s="1"/>
  <c r="N156" i="2" s="1"/>
  <c r="E155" i="2"/>
  <c r="G155" i="2" s="1"/>
  <c r="I155" i="2" s="1"/>
  <c r="N155" i="2" s="1"/>
  <c r="E154" i="2"/>
  <c r="G154" i="2" s="1"/>
  <c r="I154" i="2" s="1"/>
  <c r="N154" i="2" s="1"/>
  <c r="E153" i="2"/>
  <c r="G153" i="2" s="1"/>
  <c r="I153" i="2" s="1"/>
  <c r="N153" i="2" s="1"/>
  <c r="E152" i="2"/>
  <c r="G152" i="2" s="1"/>
  <c r="I152" i="2" s="1"/>
  <c r="N152" i="2" s="1"/>
  <c r="E151" i="2"/>
  <c r="G151" i="2" s="1"/>
  <c r="I151" i="2" s="1"/>
  <c r="N151" i="2" s="1"/>
  <c r="E150" i="2"/>
  <c r="G150" i="2" s="1"/>
  <c r="I150" i="2" s="1"/>
  <c r="N150" i="2" s="1"/>
  <c r="E149" i="2"/>
  <c r="G149" i="2" s="1"/>
  <c r="I149" i="2" s="1"/>
  <c r="N149" i="2" s="1"/>
  <c r="E148" i="2"/>
  <c r="G148" i="2" s="1"/>
  <c r="I148" i="2" s="1"/>
  <c r="N148" i="2" s="1"/>
  <c r="E147" i="2"/>
  <c r="G147" i="2" s="1"/>
  <c r="I147" i="2" s="1"/>
  <c r="N147" i="2" s="1"/>
  <c r="E146" i="2"/>
  <c r="G146" i="2" s="1"/>
  <c r="I146" i="2" s="1"/>
  <c r="N146" i="2" s="1"/>
  <c r="E145" i="2"/>
  <c r="G145" i="2" s="1"/>
  <c r="I145" i="2" s="1"/>
  <c r="N145" i="2" s="1"/>
  <c r="E144" i="2"/>
  <c r="G144" i="2" s="1"/>
  <c r="I144" i="2" s="1"/>
  <c r="N144" i="2" s="1"/>
  <c r="E142" i="2"/>
  <c r="G142" i="2" s="1"/>
  <c r="I142" i="2" s="1"/>
  <c r="N142" i="2" s="1"/>
  <c r="E141" i="2"/>
  <c r="G141" i="2" s="1"/>
  <c r="I141" i="2" s="1"/>
  <c r="N141" i="2" s="1"/>
  <c r="E140" i="2"/>
  <c r="G140" i="2" s="1"/>
  <c r="I140" i="2" s="1"/>
  <c r="N140" i="2" s="1"/>
  <c r="E139" i="2"/>
  <c r="G139" i="2" s="1"/>
  <c r="I139" i="2" s="1"/>
  <c r="N139" i="2" s="1"/>
  <c r="E138" i="2"/>
  <c r="G138" i="2" s="1"/>
  <c r="I138" i="2" s="1"/>
  <c r="N138" i="2" s="1"/>
  <c r="E137" i="2"/>
  <c r="G137" i="2" s="1"/>
  <c r="I137" i="2" s="1"/>
  <c r="N137" i="2" s="1"/>
  <c r="E136" i="2"/>
  <c r="G136" i="2" s="1"/>
  <c r="I136" i="2" s="1"/>
  <c r="N136" i="2" s="1"/>
  <c r="E135" i="2"/>
  <c r="G135" i="2" s="1"/>
  <c r="I135" i="2" s="1"/>
  <c r="N135" i="2" s="1"/>
  <c r="E134" i="2"/>
  <c r="G134" i="2" s="1"/>
  <c r="I134" i="2" s="1"/>
  <c r="N134" i="2" s="1"/>
  <c r="E133" i="2"/>
  <c r="G133" i="2" s="1"/>
  <c r="I133" i="2" s="1"/>
  <c r="N133" i="2" s="1"/>
  <c r="E132" i="2"/>
  <c r="G132" i="2" s="1"/>
  <c r="I132" i="2" s="1"/>
  <c r="N132" i="2" s="1"/>
  <c r="E131" i="2"/>
  <c r="G131" i="2" s="1"/>
  <c r="I131" i="2" s="1"/>
  <c r="N131" i="2" s="1"/>
  <c r="E130" i="2"/>
  <c r="G130" i="2" s="1"/>
  <c r="I130" i="2" s="1"/>
  <c r="N130" i="2" s="1"/>
  <c r="E129" i="2"/>
  <c r="G129" i="2" s="1"/>
  <c r="I129" i="2" s="1"/>
  <c r="N129" i="2" s="1"/>
  <c r="E128" i="2"/>
  <c r="G128" i="2" s="1"/>
  <c r="I128" i="2" s="1"/>
  <c r="N128" i="2" s="1"/>
  <c r="E127" i="2"/>
  <c r="G127" i="2" s="1"/>
  <c r="I127" i="2" s="1"/>
  <c r="N127" i="2" s="1"/>
  <c r="E126" i="2"/>
  <c r="G126" i="2" s="1"/>
  <c r="I126" i="2" s="1"/>
  <c r="N126" i="2" s="1"/>
  <c r="E125" i="2"/>
  <c r="G125" i="2" s="1"/>
  <c r="I125" i="2" s="1"/>
  <c r="N125" i="2" s="1"/>
  <c r="E124" i="2"/>
  <c r="G124" i="2" s="1"/>
  <c r="I124" i="2" s="1"/>
  <c r="N124" i="2" s="1"/>
  <c r="E123" i="2"/>
  <c r="G123" i="2" s="1"/>
  <c r="I123" i="2" s="1"/>
  <c r="N123" i="2" s="1"/>
  <c r="E122" i="2"/>
  <c r="G122" i="2" s="1"/>
  <c r="I122" i="2" s="1"/>
  <c r="N122" i="2" s="1"/>
  <c r="E121" i="2"/>
  <c r="G121" i="2" s="1"/>
  <c r="I121" i="2" s="1"/>
  <c r="N121" i="2" s="1"/>
  <c r="E120" i="2"/>
  <c r="G120" i="2" s="1"/>
  <c r="I120" i="2" s="1"/>
  <c r="N120" i="2" s="1"/>
  <c r="E119" i="2"/>
  <c r="G119" i="2" s="1"/>
  <c r="I119" i="2" s="1"/>
  <c r="N119" i="2" s="1"/>
  <c r="E118" i="2"/>
  <c r="G118" i="2" s="1"/>
  <c r="I118" i="2" s="1"/>
  <c r="N118" i="2" s="1"/>
  <c r="E117" i="2"/>
  <c r="G117" i="2" s="1"/>
  <c r="I117" i="2" s="1"/>
  <c r="N117" i="2" s="1"/>
  <c r="E116" i="2"/>
  <c r="G116" i="2" s="1"/>
  <c r="I116" i="2" s="1"/>
  <c r="N116" i="2" s="1"/>
  <c r="E115" i="2"/>
  <c r="G115" i="2" s="1"/>
  <c r="I115" i="2" s="1"/>
  <c r="N115" i="2" s="1"/>
  <c r="E114" i="2"/>
  <c r="G114" i="2" s="1"/>
  <c r="I114" i="2" s="1"/>
  <c r="N114" i="2" s="1"/>
  <c r="E113" i="2"/>
  <c r="G113" i="2" s="1"/>
  <c r="I113" i="2" s="1"/>
  <c r="N113" i="2" s="1"/>
  <c r="E112" i="2"/>
  <c r="G112" i="2" s="1"/>
  <c r="I112" i="2" s="1"/>
  <c r="N112" i="2" s="1"/>
  <c r="E111" i="2"/>
  <c r="G111" i="2" s="1"/>
  <c r="I111" i="2" s="1"/>
  <c r="N111" i="2" s="1"/>
  <c r="E110" i="2"/>
  <c r="G110" i="2" s="1"/>
  <c r="I110" i="2" s="1"/>
  <c r="N110" i="2" s="1"/>
  <c r="E109" i="2"/>
  <c r="G109" i="2" s="1"/>
  <c r="I109" i="2" s="1"/>
  <c r="N109" i="2" s="1"/>
  <c r="E108" i="2"/>
  <c r="G108" i="2" s="1"/>
  <c r="I108" i="2" s="1"/>
  <c r="N108" i="2" s="1"/>
  <c r="E107" i="2"/>
  <c r="G107" i="2" s="1"/>
  <c r="I107" i="2" s="1"/>
  <c r="N107" i="2" s="1"/>
  <c r="E106" i="2"/>
  <c r="G106" i="2" s="1"/>
  <c r="I106" i="2" s="1"/>
  <c r="N106" i="2" s="1"/>
  <c r="E105" i="2"/>
  <c r="G105" i="2" s="1"/>
  <c r="I105" i="2" s="1"/>
  <c r="N105" i="2" s="1"/>
  <c r="E104" i="2"/>
  <c r="G104" i="2" s="1"/>
  <c r="I104" i="2" s="1"/>
  <c r="N104" i="2" s="1"/>
  <c r="E103" i="2"/>
  <c r="G103" i="2" s="1"/>
  <c r="I103" i="2" s="1"/>
  <c r="N103" i="2" s="1"/>
  <c r="E102" i="2"/>
  <c r="G102" i="2" s="1"/>
  <c r="I102" i="2" s="1"/>
  <c r="N102" i="2" s="1"/>
  <c r="E101" i="2"/>
  <c r="G101" i="2" s="1"/>
  <c r="I101" i="2" s="1"/>
  <c r="N101" i="2" s="1"/>
  <c r="E100" i="2"/>
  <c r="G100" i="2" s="1"/>
  <c r="I100" i="2" s="1"/>
  <c r="N100" i="2" s="1"/>
  <c r="E99" i="2"/>
  <c r="G99" i="2" s="1"/>
  <c r="I99" i="2" s="1"/>
  <c r="N99" i="2" s="1"/>
  <c r="E98" i="2"/>
  <c r="G98" i="2" s="1"/>
  <c r="I98" i="2" s="1"/>
  <c r="N98" i="2" s="1"/>
  <c r="E97" i="2"/>
  <c r="G97" i="2" s="1"/>
  <c r="I97" i="2" s="1"/>
  <c r="N97" i="2" s="1"/>
  <c r="E96" i="2"/>
  <c r="G96" i="2" s="1"/>
  <c r="I96" i="2" s="1"/>
  <c r="N96" i="2" s="1"/>
  <c r="E95" i="2"/>
  <c r="G95" i="2" s="1"/>
  <c r="I95" i="2" s="1"/>
  <c r="N95" i="2" s="1"/>
  <c r="E94" i="2"/>
  <c r="G94" i="2" s="1"/>
  <c r="I94" i="2" s="1"/>
  <c r="N94" i="2" s="1"/>
  <c r="E93" i="2"/>
  <c r="G93" i="2" s="1"/>
  <c r="I93" i="2" s="1"/>
  <c r="N93" i="2" s="1"/>
  <c r="E92" i="2"/>
  <c r="G92" i="2" s="1"/>
  <c r="I92" i="2" s="1"/>
  <c r="N92" i="2" s="1"/>
  <c r="E91" i="2"/>
  <c r="G91" i="2" s="1"/>
  <c r="I91" i="2" s="1"/>
  <c r="N91" i="2" s="1"/>
  <c r="E90" i="2"/>
  <c r="G90" i="2" s="1"/>
  <c r="I90" i="2" s="1"/>
  <c r="N90" i="2" s="1"/>
  <c r="E89" i="2"/>
  <c r="G89" i="2" s="1"/>
  <c r="I89" i="2" s="1"/>
  <c r="N89" i="2" s="1"/>
  <c r="E88" i="2"/>
  <c r="G88" i="2" s="1"/>
  <c r="I88" i="2" s="1"/>
  <c r="N88" i="2" s="1"/>
  <c r="E87" i="2"/>
  <c r="G87" i="2" s="1"/>
  <c r="I87" i="2" s="1"/>
  <c r="N87" i="2" s="1"/>
  <c r="E86" i="2"/>
  <c r="G86" i="2" s="1"/>
  <c r="I86" i="2" s="1"/>
  <c r="N86" i="2" s="1"/>
  <c r="E85" i="2"/>
  <c r="G85" i="2" s="1"/>
  <c r="I85" i="2" s="1"/>
  <c r="N85" i="2" s="1"/>
  <c r="E84" i="2"/>
  <c r="G84" i="2" s="1"/>
  <c r="I84" i="2" s="1"/>
  <c r="N84" i="2" s="1"/>
  <c r="E83" i="2"/>
  <c r="G83" i="2" s="1"/>
  <c r="I83" i="2" s="1"/>
  <c r="N83" i="2" s="1"/>
  <c r="E82" i="2"/>
  <c r="G82" i="2" s="1"/>
  <c r="I82" i="2" s="1"/>
  <c r="N82" i="2" s="1"/>
  <c r="E81" i="2"/>
  <c r="G81" i="2" s="1"/>
  <c r="I81" i="2" s="1"/>
  <c r="N81" i="2" s="1"/>
  <c r="E80" i="2"/>
  <c r="G80" i="2" s="1"/>
  <c r="I80" i="2" s="1"/>
  <c r="N80" i="2" s="1"/>
  <c r="E79" i="2"/>
  <c r="G79" i="2" s="1"/>
  <c r="I79" i="2" s="1"/>
  <c r="N79" i="2" s="1"/>
  <c r="E78" i="2"/>
  <c r="G78" i="2" s="1"/>
  <c r="I78" i="2" s="1"/>
  <c r="N78" i="2" s="1"/>
  <c r="E77" i="2"/>
  <c r="G77" i="2" s="1"/>
  <c r="I77" i="2" s="1"/>
  <c r="N77" i="2" s="1"/>
  <c r="E76" i="2"/>
  <c r="G76" i="2" s="1"/>
  <c r="I76" i="2" s="1"/>
  <c r="N76" i="2" s="1"/>
  <c r="E75" i="2"/>
  <c r="G75" i="2" s="1"/>
  <c r="I75" i="2" s="1"/>
  <c r="N75" i="2" s="1"/>
  <c r="E74" i="2"/>
  <c r="G74" i="2" s="1"/>
  <c r="I74" i="2" s="1"/>
  <c r="N74" i="2" s="1"/>
  <c r="E73" i="2"/>
  <c r="G73" i="2" s="1"/>
  <c r="I73" i="2" s="1"/>
  <c r="N73" i="2" s="1"/>
  <c r="E72" i="2"/>
  <c r="G72" i="2" s="1"/>
  <c r="I72" i="2" s="1"/>
  <c r="N72" i="2" s="1"/>
  <c r="E71" i="2"/>
  <c r="G71" i="2" s="1"/>
  <c r="I71" i="2" s="1"/>
  <c r="N71" i="2" s="1"/>
  <c r="E70" i="2"/>
  <c r="G70" i="2" s="1"/>
  <c r="I70" i="2" s="1"/>
  <c r="N70" i="2" s="1"/>
  <c r="E69" i="2"/>
  <c r="G69" i="2" s="1"/>
  <c r="I69" i="2" s="1"/>
  <c r="N69" i="2" s="1"/>
  <c r="E68" i="2"/>
  <c r="G68" i="2" s="1"/>
  <c r="I68" i="2" s="1"/>
  <c r="N68" i="2" s="1"/>
  <c r="E67" i="2"/>
  <c r="G67" i="2" s="1"/>
  <c r="I67" i="2" s="1"/>
  <c r="N67" i="2" s="1"/>
  <c r="E66" i="2"/>
  <c r="G66" i="2" s="1"/>
  <c r="I66" i="2" s="1"/>
  <c r="N66" i="2" s="1"/>
  <c r="E65" i="2"/>
  <c r="G65" i="2" s="1"/>
  <c r="I65" i="2" s="1"/>
  <c r="N65" i="2" s="1"/>
  <c r="E64" i="2"/>
  <c r="G64" i="2" s="1"/>
  <c r="I64" i="2" s="1"/>
  <c r="N64" i="2" s="1"/>
  <c r="E63" i="2"/>
  <c r="G63" i="2" s="1"/>
  <c r="I63" i="2" s="1"/>
  <c r="N63" i="2" s="1"/>
  <c r="E62" i="2"/>
  <c r="G62" i="2" s="1"/>
  <c r="I62" i="2" s="1"/>
  <c r="N62" i="2" s="1"/>
  <c r="E61" i="2"/>
  <c r="G61" i="2" s="1"/>
  <c r="I61" i="2" s="1"/>
  <c r="N61" i="2" s="1"/>
  <c r="E60" i="2"/>
  <c r="G60" i="2" s="1"/>
  <c r="I60" i="2" s="1"/>
  <c r="N60" i="2" s="1"/>
  <c r="E59" i="2"/>
  <c r="G59" i="2" s="1"/>
  <c r="I59" i="2" s="1"/>
  <c r="N59" i="2" s="1"/>
  <c r="E58" i="2"/>
  <c r="G58" i="2" s="1"/>
  <c r="I58" i="2" s="1"/>
  <c r="N58" i="2" s="1"/>
  <c r="E57" i="2"/>
  <c r="G57" i="2" s="1"/>
  <c r="I57" i="2" s="1"/>
  <c r="N57" i="2" s="1"/>
  <c r="E56" i="2"/>
  <c r="G56" i="2" s="1"/>
  <c r="I56" i="2" s="1"/>
  <c r="N56" i="2" s="1"/>
  <c r="E55" i="2"/>
  <c r="G55" i="2" s="1"/>
  <c r="I55" i="2" s="1"/>
  <c r="N55" i="2" s="1"/>
  <c r="E54" i="2"/>
  <c r="G54" i="2" s="1"/>
  <c r="I54" i="2" s="1"/>
  <c r="N54" i="2" s="1"/>
  <c r="E53" i="2"/>
  <c r="G53" i="2" s="1"/>
  <c r="I53" i="2" s="1"/>
  <c r="N53" i="2" s="1"/>
  <c r="E52" i="2"/>
  <c r="G52" i="2" s="1"/>
  <c r="I52" i="2" s="1"/>
  <c r="N52" i="2" s="1"/>
  <c r="E51" i="2"/>
  <c r="G51" i="2" s="1"/>
  <c r="I51" i="2" s="1"/>
  <c r="N51" i="2" s="1"/>
  <c r="E50" i="2"/>
  <c r="G50" i="2" s="1"/>
  <c r="I50" i="2" s="1"/>
  <c r="N50" i="2" s="1"/>
  <c r="E49" i="2"/>
  <c r="G49" i="2" s="1"/>
  <c r="I49" i="2" s="1"/>
  <c r="N49" i="2" s="1"/>
  <c r="E48" i="2"/>
  <c r="G48" i="2" s="1"/>
  <c r="I48" i="2" s="1"/>
  <c r="N48" i="2" s="1"/>
  <c r="E47" i="2"/>
  <c r="E46" i="2"/>
  <c r="E45" i="2"/>
  <c r="E44" i="2"/>
  <c r="E43" i="2"/>
  <c r="E41" i="2"/>
  <c r="E39" i="2"/>
  <c r="G39" i="2" s="1"/>
  <c r="I39" i="2" s="1"/>
  <c r="N39" i="2" s="1"/>
  <c r="E38" i="2"/>
  <c r="G38" i="2" s="1"/>
  <c r="I38" i="2" s="1"/>
  <c r="N38" i="2" s="1"/>
  <c r="E37" i="2"/>
  <c r="G37" i="2" s="1"/>
  <c r="I37" i="2" s="1"/>
  <c r="N37" i="2" s="1"/>
  <c r="E36" i="2"/>
  <c r="G36" i="2" s="1"/>
  <c r="I36" i="2" s="1"/>
  <c r="N36" i="2" s="1"/>
  <c r="E35" i="2"/>
  <c r="G35" i="2" s="1"/>
  <c r="I35" i="2" s="1"/>
  <c r="N35" i="2" s="1"/>
  <c r="E34" i="2"/>
  <c r="G34" i="2" s="1"/>
  <c r="I34" i="2" s="1"/>
  <c r="N34" i="2" s="1"/>
  <c r="E33" i="2"/>
  <c r="G33" i="2" s="1"/>
  <c r="I33" i="2" s="1"/>
  <c r="N33" i="2" s="1"/>
  <c r="E32" i="2"/>
  <c r="G32" i="2" s="1"/>
  <c r="I32" i="2" s="1"/>
  <c r="N32" i="2" s="1"/>
  <c r="E31" i="2"/>
  <c r="G31" i="2" s="1"/>
  <c r="I31" i="2" s="1"/>
  <c r="N31" i="2" s="1"/>
  <c r="E30" i="2"/>
  <c r="G30" i="2" s="1"/>
  <c r="I30" i="2" s="1"/>
  <c r="N30" i="2" s="1"/>
  <c r="E29" i="2"/>
  <c r="E28" i="2"/>
  <c r="E27" i="2"/>
  <c r="E25" i="2"/>
  <c r="G25" i="2" s="1"/>
  <c r="I25" i="2" s="1"/>
  <c r="N25" i="2" s="1"/>
  <c r="E24" i="2"/>
  <c r="G24" i="2" s="1"/>
  <c r="I24" i="2" s="1"/>
  <c r="N24" i="2" s="1"/>
  <c r="E23" i="2"/>
  <c r="G23" i="2" s="1"/>
  <c r="I23" i="2" s="1"/>
  <c r="N23" i="2" s="1"/>
  <c r="E22" i="2"/>
  <c r="G22" i="2" s="1"/>
  <c r="I22" i="2" s="1"/>
  <c r="N22" i="2" s="1"/>
  <c r="E21" i="2"/>
  <c r="G21" i="2" s="1"/>
  <c r="I21" i="2" s="1"/>
  <c r="N21" i="2" s="1"/>
  <c r="E18" i="2"/>
  <c r="G18" i="2" s="1"/>
  <c r="I18" i="2" s="1"/>
  <c r="N18" i="2" s="1"/>
  <c r="E17" i="2"/>
  <c r="G17" i="2" s="1"/>
  <c r="I17" i="2" s="1"/>
  <c r="N17" i="2" s="1"/>
  <c r="E16" i="2"/>
  <c r="G16" i="2" s="1"/>
  <c r="I16" i="2" s="1"/>
  <c r="N16" i="2" s="1"/>
  <c r="E15" i="2"/>
  <c r="G15" i="2" s="1"/>
  <c r="I15" i="2" s="1"/>
  <c r="N15" i="2" s="1"/>
  <c r="E14" i="2"/>
  <c r="G14" i="2" s="1"/>
  <c r="I14" i="2" s="1"/>
  <c r="N14" i="2" s="1"/>
  <c r="J8" i="1"/>
  <c r="D14" i="1"/>
  <c r="D20" i="1"/>
  <c r="D25" i="1"/>
  <c r="D33" i="1"/>
  <c r="D47" i="1"/>
  <c r="D68" i="1"/>
  <c r="D101" i="1"/>
  <c r="D123" i="1"/>
  <c r="D127" i="1"/>
  <c r="D138" i="1"/>
  <c r="D153" i="1" s="1"/>
  <c r="E156" i="1"/>
  <c r="E154" i="1"/>
  <c r="E152" i="1"/>
  <c r="E150" i="1"/>
  <c r="E149" i="1"/>
  <c r="G149" i="1" s="1"/>
  <c r="I149" i="1" s="1"/>
  <c r="N149" i="1" s="1"/>
  <c r="E148" i="1"/>
  <c r="G148" i="1" s="1"/>
  <c r="I148" i="1" s="1"/>
  <c r="N148" i="1" s="1"/>
  <c r="E147" i="1"/>
  <c r="G147" i="1" s="1"/>
  <c r="I147" i="1" s="1"/>
  <c r="N147" i="1" s="1"/>
  <c r="E146" i="1"/>
  <c r="G146" i="1" s="1"/>
  <c r="I146" i="1" s="1"/>
  <c r="N146" i="1" s="1"/>
  <c r="E145" i="1"/>
  <c r="G145" i="1" s="1"/>
  <c r="I145" i="1" s="1"/>
  <c r="N145" i="1" s="1"/>
  <c r="E144" i="1"/>
  <c r="G144" i="1" s="1"/>
  <c r="I144" i="1" s="1"/>
  <c r="N144" i="1" s="1"/>
  <c r="E143" i="1"/>
  <c r="G143" i="1" s="1"/>
  <c r="I143" i="1" s="1"/>
  <c r="N143" i="1" s="1"/>
  <c r="E142" i="1"/>
  <c r="G142" i="1" s="1"/>
  <c r="I142" i="1" s="1"/>
  <c r="N142" i="1" s="1"/>
  <c r="E141" i="1"/>
  <c r="G141" i="1" s="1"/>
  <c r="I141" i="1" s="1"/>
  <c r="N141" i="1" s="1"/>
  <c r="E140" i="1"/>
  <c r="E139" i="1"/>
  <c r="E137" i="1"/>
  <c r="E136" i="1"/>
  <c r="G136" i="1" s="1"/>
  <c r="I136" i="1" s="1"/>
  <c r="N136" i="1" s="1"/>
  <c r="E135" i="1"/>
  <c r="G135" i="1" s="1"/>
  <c r="E134" i="1"/>
  <c r="E133" i="1"/>
  <c r="E132" i="1"/>
  <c r="E131" i="1"/>
  <c r="E130" i="1"/>
  <c r="E128" i="1"/>
  <c r="E126" i="1"/>
  <c r="E125" i="1"/>
  <c r="E124" i="1"/>
  <c r="E122" i="1"/>
  <c r="G122" i="1" s="1"/>
  <c r="I122" i="1" s="1"/>
  <c r="N122" i="1" s="1"/>
  <c r="E121" i="1"/>
  <c r="G121" i="1" s="1"/>
  <c r="I121" i="1" s="1"/>
  <c r="N121" i="1" s="1"/>
  <c r="E119" i="1"/>
  <c r="G119" i="1" s="1"/>
  <c r="I119" i="1" s="1"/>
  <c r="N119" i="1" s="1"/>
  <c r="E118" i="1"/>
  <c r="G118" i="1" s="1"/>
  <c r="I118" i="1" s="1"/>
  <c r="N118" i="1" s="1"/>
  <c r="E117" i="1"/>
  <c r="G117" i="1" s="1"/>
  <c r="I117" i="1" s="1"/>
  <c r="N117" i="1" s="1"/>
  <c r="E116" i="1"/>
  <c r="G116" i="1" s="1"/>
  <c r="I116" i="1" s="1"/>
  <c r="N116" i="1" s="1"/>
  <c r="E115" i="1"/>
  <c r="G115" i="1" s="1"/>
  <c r="I115" i="1" s="1"/>
  <c r="N115" i="1" s="1"/>
  <c r="E114" i="1"/>
  <c r="G114" i="1" s="1"/>
  <c r="I114" i="1" s="1"/>
  <c r="N114" i="1" s="1"/>
  <c r="E113" i="1"/>
  <c r="G113" i="1" s="1"/>
  <c r="I113" i="1" s="1"/>
  <c r="N113" i="1" s="1"/>
  <c r="E112" i="1"/>
  <c r="G112" i="1" s="1"/>
  <c r="I112" i="1" s="1"/>
  <c r="N112" i="1" s="1"/>
  <c r="E111" i="1"/>
  <c r="G111" i="1" s="1"/>
  <c r="I111" i="1" s="1"/>
  <c r="N111" i="1" s="1"/>
  <c r="E110" i="1"/>
  <c r="G110" i="1" s="1"/>
  <c r="I110" i="1" s="1"/>
  <c r="N110" i="1" s="1"/>
  <c r="E109" i="1"/>
  <c r="G109" i="1" s="1"/>
  <c r="I109" i="1" s="1"/>
  <c r="N109" i="1" s="1"/>
  <c r="E108" i="1"/>
  <c r="G108" i="1" s="1"/>
  <c r="I108" i="1" s="1"/>
  <c r="N108" i="1" s="1"/>
  <c r="E107" i="1"/>
  <c r="G107" i="1" s="1"/>
  <c r="I107" i="1" s="1"/>
  <c r="N107" i="1" s="1"/>
  <c r="E106" i="1"/>
  <c r="G106" i="1" s="1"/>
  <c r="I106" i="1" s="1"/>
  <c r="N106" i="1" s="1"/>
  <c r="E105" i="1"/>
  <c r="G105" i="1" s="1"/>
  <c r="I105" i="1" s="1"/>
  <c r="N105" i="1" s="1"/>
  <c r="E104" i="1"/>
  <c r="E103" i="1"/>
  <c r="E102" i="1"/>
  <c r="E100" i="1"/>
  <c r="G100" i="1" s="1"/>
  <c r="I100" i="1" s="1"/>
  <c r="N100" i="1" s="1"/>
  <c r="E99" i="1"/>
  <c r="G99" i="1" s="1"/>
  <c r="I99" i="1" s="1"/>
  <c r="N99" i="1" s="1"/>
  <c r="E98" i="1"/>
  <c r="G98" i="1" s="1"/>
  <c r="I98" i="1" s="1"/>
  <c r="N98" i="1" s="1"/>
  <c r="E97" i="1"/>
  <c r="G97" i="1" s="1"/>
  <c r="I97" i="1" s="1"/>
  <c r="N97" i="1" s="1"/>
  <c r="E96" i="1"/>
  <c r="G96" i="1" s="1"/>
  <c r="I96" i="1" s="1"/>
  <c r="N96" i="1" s="1"/>
  <c r="E95" i="1"/>
  <c r="G95" i="1" s="1"/>
  <c r="I95" i="1" s="1"/>
  <c r="N95" i="1" s="1"/>
  <c r="E94" i="1"/>
  <c r="G94" i="1" s="1"/>
  <c r="I94" i="1" s="1"/>
  <c r="N94" i="1" s="1"/>
  <c r="E93" i="1"/>
  <c r="G93" i="1" s="1"/>
  <c r="I93" i="1" s="1"/>
  <c r="N93" i="1" s="1"/>
  <c r="E92" i="1"/>
  <c r="G92" i="1" s="1"/>
  <c r="I92" i="1" s="1"/>
  <c r="N92" i="1" s="1"/>
  <c r="E91" i="1"/>
  <c r="G91" i="1" s="1"/>
  <c r="I91" i="1" s="1"/>
  <c r="N91" i="1" s="1"/>
  <c r="E90" i="1"/>
  <c r="G90" i="1" s="1"/>
  <c r="I90" i="1" s="1"/>
  <c r="N90" i="1" s="1"/>
  <c r="E89" i="1"/>
  <c r="G89" i="1" s="1"/>
  <c r="I89" i="1" s="1"/>
  <c r="N89" i="1" s="1"/>
  <c r="E88" i="1"/>
  <c r="G88" i="1" s="1"/>
  <c r="I88" i="1" s="1"/>
  <c r="N88" i="1" s="1"/>
  <c r="E87" i="1"/>
  <c r="G87" i="1" s="1"/>
  <c r="I87" i="1" s="1"/>
  <c r="N87" i="1" s="1"/>
  <c r="E86" i="1"/>
  <c r="G86" i="1" s="1"/>
  <c r="I86" i="1" s="1"/>
  <c r="N86" i="1" s="1"/>
  <c r="E85" i="1"/>
  <c r="G85" i="1" s="1"/>
  <c r="I85" i="1" s="1"/>
  <c r="N85" i="1" s="1"/>
  <c r="E84" i="1"/>
  <c r="G84" i="1" s="1"/>
  <c r="I84" i="1" s="1"/>
  <c r="N84" i="1" s="1"/>
  <c r="E83" i="1"/>
  <c r="G83" i="1" s="1"/>
  <c r="I83" i="1" s="1"/>
  <c r="N83" i="1" s="1"/>
  <c r="E82" i="1"/>
  <c r="G82" i="1" s="1"/>
  <c r="I82" i="1" s="1"/>
  <c r="N82" i="1" s="1"/>
  <c r="E81" i="1"/>
  <c r="G81" i="1" s="1"/>
  <c r="I81" i="1" s="1"/>
  <c r="N81" i="1" s="1"/>
  <c r="E80" i="1"/>
  <c r="G80" i="1" s="1"/>
  <c r="I80" i="1" s="1"/>
  <c r="N80" i="1" s="1"/>
  <c r="E79" i="1"/>
  <c r="G79" i="1" s="1"/>
  <c r="I79" i="1" s="1"/>
  <c r="N79" i="1" s="1"/>
  <c r="E78" i="1"/>
  <c r="G78" i="1" s="1"/>
  <c r="I78" i="1" s="1"/>
  <c r="N78" i="1" s="1"/>
  <c r="E77" i="1"/>
  <c r="G77" i="1" s="1"/>
  <c r="I77" i="1" s="1"/>
  <c r="N77" i="1" s="1"/>
  <c r="E76" i="1"/>
  <c r="G76" i="1" s="1"/>
  <c r="I76" i="1" s="1"/>
  <c r="N76" i="1" s="1"/>
  <c r="E75" i="1"/>
  <c r="G75" i="1" s="1"/>
  <c r="I75" i="1" s="1"/>
  <c r="N75" i="1" s="1"/>
  <c r="E74" i="1"/>
  <c r="G74" i="1" s="1"/>
  <c r="I74" i="1" s="1"/>
  <c r="N74" i="1" s="1"/>
  <c r="E73" i="1"/>
  <c r="G73" i="1" s="1"/>
  <c r="I73" i="1" s="1"/>
  <c r="N73" i="1" s="1"/>
  <c r="E72" i="1"/>
  <c r="G72" i="1" s="1"/>
  <c r="I72" i="1" s="1"/>
  <c r="N72" i="1" s="1"/>
  <c r="E71" i="1"/>
  <c r="E70" i="1"/>
  <c r="E69" i="1"/>
  <c r="E67" i="1"/>
  <c r="G67" i="1" s="1"/>
  <c r="I67" i="1" s="1"/>
  <c r="N67" i="1" s="1"/>
  <c r="E65" i="1"/>
  <c r="G65" i="1" s="1"/>
  <c r="I65" i="1" s="1"/>
  <c r="N65" i="1" s="1"/>
  <c r="E64" i="1"/>
  <c r="G64" i="1" s="1"/>
  <c r="I64" i="1" s="1"/>
  <c r="N64" i="1" s="1"/>
  <c r="E63" i="1"/>
  <c r="G63" i="1" s="1"/>
  <c r="I63" i="1" s="1"/>
  <c r="N63" i="1" s="1"/>
  <c r="E62" i="1"/>
  <c r="G62" i="1" s="1"/>
  <c r="I62" i="1" s="1"/>
  <c r="N62" i="1" s="1"/>
  <c r="E61" i="1"/>
  <c r="G61" i="1" s="1"/>
  <c r="I61" i="1" s="1"/>
  <c r="N61" i="1" s="1"/>
  <c r="E60" i="1"/>
  <c r="G60" i="1" s="1"/>
  <c r="I60" i="1" s="1"/>
  <c r="N60" i="1" s="1"/>
  <c r="E59" i="1"/>
  <c r="G59" i="1" s="1"/>
  <c r="E58" i="1"/>
  <c r="G58" i="1" s="1"/>
  <c r="E57" i="1"/>
  <c r="E56" i="1"/>
  <c r="E55" i="1"/>
  <c r="E53" i="1"/>
  <c r="E51" i="1"/>
  <c r="G51" i="1" s="1"/>
  <c r="I51" i="1" s="1"/>
  <c r="N51" i="1" s="1"/>
  <c r="E50" i="1"/>
  <c r="E49" i="1"/>
  <c r="E48" i="1"/>
  <c r="E46" i="1"/>
  <c r="G46" i="1" s="1"/>
  <c r="I46" i="1" s="1"/>
  <c r="N46" i="1" s="1"/>
  <c r="E44" i="1"/>
  <c r="G44" i="1" s="1"/>
  <c r="I44" i="1" s="1"/>
  <c r="N44" i="1" s="1"/>
  <c r="E43" i="1"/>
  <c r="G43" i="1" s="1"/>
  <c r="I43" i="1" s="1"/>
  <c r="N43" i="1" s="1"/>
  <c r="E42" i="1"/>
  <c r="G42" i="1" s="1"/>
  <c r="I42" i="1" s="1"/>
  <c r="N42" i="1" s="1"/>
  <c r="E41" i="1"/>
  <c r="G41" i="1" s="1"/>
  <c r="I41" i="1" s="1"/>
  <c r="N41" i="1" s="1"/>
  <c r="E40" i="1"/>
  <c r="G40" i="1" s="1"/>
  <c r="I40" i="1" s="1"/>
  <c r="N40" i="1" s="1"/>
  <c r="E39" i="1"/>
  <c r="G39" i="1" s="1"/>
  <c r="I39" i="1" s="1"/>
  <c r="N39" i="1" s="1"/>
  <c r="E38" i="1"/>
  <c r="G38" i="1" s="1"/>
  <c r="I38" i="1" s="1"/>
  <c r="N38" i="1" s="1"/>
  <c r="E37" i="1"/>
  <c r="G37" i="1" s="1"/>
  <c r="I37" i="1" s="1"/>
  <c r="N37" i="1" s="1"/>
  <c r="E36" i="1"/>
  <c r="G36" i="1" s="1"/>
  <c r="I36" i="1" s="1"/>
  <c r="N36" i="1" s="1"/>
  <c r="E35" i="1"/>
  <c r="E34" i="1"/>
  <c r="E32" i="1"/>
  <c r="G32" i="1" s="1"/>
  <c r="I32" i="1" s="1"/>
  <c r="N32" i="1" s="1"/>
  <c r="E31" i="1"/>
  <c r="G31" i="1" s="1"/>
  <c r="I31" i="1" s="1"/>
  <c r="N31" i="1" s="1"/>
  <c r="E30" i="1"/>
  <c r="G30" i="1" s="1"/>
  <c r="I30" i="1" s="1"/>
  <c r="N30" i="1" s="1"/>
  <c r="E29" i="1"/>
  <c r="G29" i="1" s="1"/>
  <c r="I29" i="1" s="1"/>
  <c r="N29" i="1" s="1"/>
  <c r="E28" i="1"/>
  <c r="E27" i="1"/>
  <c r="E26" i="1"/>
  <c r="E24" i="1"/>
  <c r="G24" i="1" s="1"/>
  <c r="I24" i="1" s="1"/>
  <c r="N24" i="1" s="1"/>
  <c r="E23" i="1"/>
  <c r="E22" i="1"/>
  <c r="E21" i="1"/>
  <c r="E19" i="1"/>
  <c r="G19" i="1" s="1"/>
  <c r="I19" i="1" s="1"/>
  <c r="N19" i="1" s="1"/>
  <c r="E18" i="1"/>
  <c r="G18" i="1" s="1"/>
  <c r="I18" i="1" s="1"/>
  <c r="N18" i="1" s="1"/>
  <c r="E17" i="1"/>
  <c r="G17" i="1" s="1"/>
  <c r="I17" i="1" s="1"/>
  <c r="N17" i="1" s="1"/>
  <c r="E16" i="1"/>
  <c r="E13" i="1"/>
  <c r="D10" i="1"/>
  <c r="E9" i="1"/>
  <c r="G9" i="1" s="1"/>
  <c r="E8" i="1"/>
  <c r="N22" i="3" l="1"/>
  <c r="R9" i="5"/>
  <c r="N9" i="5"/>
  <c r="N35" i="3"/>
  <c r="G50" i="7"/>
  <c r="I50" i="7" s="1"/>
  <c r="G51" i="7"/>
  <c r="I51" i="7" s="1"/>
  <c r="N51" i="7" s="1"/>
  <c r="N81" i="6"/>
  <c r="P142" i="4"/>
  <c r="R142" i="4"/>
  <c r="N175" i="4"/>
  <c r="N145" i="4"/>
  <c r="N151" i="4" s="1"/>
  <c r="N18" i="5"/>
  <c r="N43" i="5" s="1"/>
  <c r="N45" i="5" s="1"/>
  <c r="N113" i="3"/>
  <c r="N358" i="2"/>
  <c r="N26" i="2"/>
  <c r="I41" i="5"/>
  <c r="I18" i="5"/>
  <c r="H19" i="8" s="1"/>
  <c r="G116" i="3"/>
  <c r="E125" i="3"/>
  <c r="G142" i="3"/>
  <c r="I140" i="3"/>
  <c r="N140" i="3" s="1"/>
  <c r="I35" i="3"/>
  <c r="I22" i="3"/>
  <c r="I224" i="3"/>
  <c r="N224" i="3"/>
  <c r="G155" i="3"/>
  <c r="H155" i="3" s="1"/>
  <c r="F156" i="3"/>
  <c r="F228" i="3" s="1"/>
  <c r="F230" i="3" s="1"/>
  <c r="I164" i="3"/>
  <c r="N11" i="3"/>
  <c r="N13" i="3" s="1"/>
  <c r="I11" i="3"/>
  <c r="I13" i="3" s="1"/>
  <c r="I113" i="3"/>
  <c r="N242" i="2"/>
  <c r="I26" i="2"/>
  <c r="I358" i="2"/>
  <c r="D16" i="8" s="1"/>
  <c r="N339" i="2"/>
  <c r="I339" i="2"/>
  <c r="I242" i="2"/>
  <c r="I257" i="2" s="1"/>
  <c r="G29" i="2"/>
  <c r="E40" i="2"/>
  <c r="N46" i="7"/>
  <c r="G115" i="7"/>
  <c r="I106" i="7"/>
  <c r="N106" i="7" s="1"/>
  <c r="I85" i="7"/>
  <c r="I26" i="8" s="1"/>
  <c r="N85" i="7"/>
  <c r="I46" i="7"/>
  <c r="I103" i="7"/>
  <c r="N103" i="7"/>
  <c r="I81" i="6"/>
  <c r="G16" i="8" s="1"/>
  <c r="I99" i="6"/>
  <c r="I113" i="6" s="1"/>
  <c r="N99" i="6"/>
  <c r="N113" i="6" s="1"/>
  <c r="G178" i="4"/>
  <c r="E188" i="4"/>
  <c r="I91" i="4"/>
  <c r="I106" i="4" s="1"/>
  <c r="N91" i="4"/>
  <c r="I151" i="4"/>
  <c r="G154" i="4"/>
  <c r="E164" i="4"/>
  <c r="I175" i="4"/>
  <c r="I67" i="4"/>
  <c r="N67" i="4"/>
  <c r="N101" i="1"/>
  <c r="N123" i="1"/>
  <c r="I20" i="1"/>
  <c r="N20" i="1"/>
  <c r="N47" i="1"/>
  <c r="G18" i="5"/>
  <c r="D43" i="5"/>
  <c r="D45" i="5" s="1"/>
  <c r="G41" i="5"/>
  <c r="I101" i="1"/>
  <c r="I123" i="1"/>
  <c r="C16" i="8" s="1"/>
  <c r="I47" i="1"/>
  <c r="C5" i="8" s="1"/>
  <c r="G138" i="1"/>
  <c r="I135" i="1"/>
  <c r="N135" i="1" s="1"/>
  <c r="G68" i="1"/>
  <c r="I59" i="1"/>
  <c r="N59" i="1" s="1"/>
  <c r="I9" i="1"/>
  <c r="N9" i="1" s="1"/>
  <c r="G20" i="1"/>
  <c r="E52" i="1"/>
  <c r="G50" i="1"/>
  <c r="I50" i="1" s="1"/>
  <c r="N50" i="1" s="1"/>
  <c r="E25" i="1"/>
  <c r="G23" i="1"/>
  <c r="E14" i="1"/>
  <c r="G13" i="1"/>
  <c r="G47" i="1"/>
  <c r="G101" i="1"/>
  <c r="E33" i="1"/>
  <c r="G28" i="1"/>
  <c r="E127" i="1"/>
  <c r="G126" i="1"/>
  <c r="E10" i="1"/>
  <c r="G8" i="1"/>
  <c r="I8" i="1" s="1"/>
  <c r="N8" i="1" s="1"/>
  <c r="G123" i="1"/>
  <c r="G81" i="6"/>
  <c r="G99" i="6"/>
  <c r="G113" i="6" s="1"/>
  <c r="G103" i="7"/>
  <c r="E9" i="7"/>
  <c r="E11" i="7" s="1"/>
  <c r="G8" i="7"/>
  <c r="G46" i="7"/>
  <c r="G85" i="7"/>
  <c r="G358" i="2"/>
  <c r="E255" i="2"/>
  <c r="G245" i="2"/>
  <c r="G339" i="2"/>
  <c r="G242" i="2"/>
  <c r="G26" i="2"/>
  <c r="D37" i="3"/>
  <c r="G224" i="3"/>
  <c r="G9" i="6"/>
  <c r="E62" i="6"/>
  <c r="E104" i="4"/>
  <c r="G94" i="4"/>
  <c r="G67" i="4"/>
  <c r="G151" i="4"/>
  <c r="G91" i="4"/>
  <c r="E71" i="4"/>
  <c r="G70" i="4"/>
  <c r="G175" i="4"/>
  <c r="G175" i="3"/>
  <c r="E185" i="3"/>
  <c r="G166" i="3"/>
  <c r="E172" i="3"/>
  <c r="G192" i="3"/>
  <c r="E204" i="3"/>
  <c r="G22" i="3"/>
  <c r="G11" i="3"/>
  <c r="G13" i="3" s="1"/>
  <c r="G113" i="3"/>
  <c r="G35" i="3"/>
  <c r="E136" i="3"/>
  <c r="G134" i="3"/>
  <c r="D129" i="1"/>
  <c r="D155" i="1" s="1"/>
  <c r="E68" i="1"/>
  <c r="E123" i="1"/>
  <c r="E101" i="1"/>
  <c r="E85" i="7"/>
  <c r="D73" i="4"/>
  <c r="D192" i="4" s="1"/>
  <c r="D194" i="4" s="1"/>
  <c r="E20" i="1"/>
  <c r="E47" i="1"/>
  <c r="E138" i="1"/>
  <c r="E151" i="4"/>
  <c r="E81" i="6"/>
  <c r="E18" i="5"/>
  <c r="E41" i="5"/>
  <c r="E67" i="4"/>
  <c r="E91" i="4"/>
  <c r="E175" i="4"/>
  <c r="D115" i="6"/>
  <c r="E99" i="6"/>
  <c r="E113" i="6" s="1"/>
  <c r="D226" i="3"/>
  <c r="E115" i="7"/>
  <c r="D77" i="7"/>
  <c r="D121" i="7" s="1"/>
  <c r="E69" i="7"/>
  <c r="E339" i="2"/>
  <c r="E358" i="2"/>
  <c r="E26" i="2"/>
  <c r="E242" i="2"/>
  <c r="D360" i="2"/>
  <c r="D362" i="2" s="1"/>
  <c r="D364" i="2" s="1"/>
  <c r="E11" i="3"/>
  <c r="E13" i="3" s="1"/>
  <c r="E224" i="3"/>
  <c r="E142" i="3"/>
  <c r="E156" i="3" s="1"/>
  <c r="E22" i="3"/>
  <c r="E35" i="3"/>
  <c r="E113" i="3"/>
  <c r="E103" i="7"/>
  <c r="E46" i="7"/>
  <c r="D54" i="1"/>
  <c r="N37" i="3" l="1"/>
  <c r="G69" i="7"/>
  <c r="N50" i="7"/>
  <c r="N69" i="7" s="1"/>
  <c r="N77" i="7" s="1"/>
  <c r="I69" i="7"/>
  <c r="I77" i="7" s="1"/>
  <c r="N142" i="3"/>
  <c r="N360" i="2"/>
  <c r="H17" i="8"/>
  <c r="I43" i="5"/>
  <c r="I45" i="5" s="1"/>
  <c r="H156" i="3"/>
  <c r="H228" i="3" s="1"/>
  <c r="H230" i="3" s="1"/>
  <c r="I37" i="3"/>
  <c r="I142" i="3"/>
  <c r="G185" i="3"/>
  <c r="I175" i="3"/>
  <c r="N175" i="3" s="1"/>
  <c r="N185" i="3" s="1"/>
  <c r="I155" i="3"/>
  <c r="G156" i="3"/>
  <c r="G172" i="3"/>
  <c r="G187" i="3" s="1"/>
  <c r="I166" i="3"/>
  <c r="N166" i="3" s="1"/>
  <c r="N172" i="3" s="1"/>
  <c r="N187" i="3" s="1"/>
  <c r="F11" i="8"/>
  <c r="G204" i="3"/>
  <c r="I192" i="3"/>
  <c r="N192" i="3" s="1"/>
  <c r="N204" i="3" s="1"/>
  <c r="G136" i="3"/>
  <c r="I134" i="3"/>
  <c r="N134" i="3" s="1"/>
  <c r="I116" i="3"/>
  <c r="N116" i="3" s="1"/>
  <c r="N125" i="3" s="1"/>
  <c r="N127" i="3" s="1"/>
  <c r="G125" i="3"/>
  <c r="G127" i="3" s="1"/>
  <c r="G255" i="2"/>
  <c r="G257" i="2" s="1"/>
  <c r="I245" i="2"/>
  <c r="N245" i="2" s="1"/>
  <c r="N255" i="2" s="1"/>
  <c r="N257" i="2" s="1"/>
  <c r="I360" i="2"/>
  <c r="G40" i="2"/>
  <c r="G42" i="2" s="1"/>
  <c r="I29" i="2"/>
  <c r="N29" i="2" s="1"/>
  <c r="N40" i="2" s="1"/>
  <c r="N42" i="2" s="1"/>
  <c r="I19" i="8"/>
  <c r="N115" i="7"/>
  <c r="N118" i="7" s="1"/>
  <c r="I115" i="7"/>
  <c r="G9" i="7"/>
  <c r="G11" i="7" s="1"/>
  <c r="I8" i="7"/>
  <c r="N8" i="7" s="1"/>
  <c r="G62" i="6"/>
  <c r="I9" i="6"/>
  <c r="N9" i="6" s="1"/>
  <c r="G104" i="4"/>
  <c r="G106" i="4" s="1"/>
  <c r="I94" i="4"/>
  <c r="G188" i="4"/>
  <c r="I178" i="4"/>
  <c r="N178" i="4" s="1"/>
  <c r="N188" i="4" s="1"/>
  <c r="N190" i="4" s="1"/>
  <c r="G71" i="4"/>
  <c r="I70" i="4"/>
  <c r="N70" i="4" s="1"/>
  <c r="N71" i="4" s="1"/>
  <c r="I154" i="4"/>
  <c r="N154" i="4" s="1"/>
  <c r="N164" i="4" s="1"/>
  <c r="N166" i="4" s="1"/>
  <c r="G164" i="4"/>
  <c r="G52" i="1"/>
  <c r="C9" i="8"/>
  <c r="I10" i="1"/>
  <c r="C8" i="8"/>
  <c r="I68" i="1"/>
  <c r="C18" i="8" s="1"/>
  <c r="N68" i="1"/>
  <c r="I138" i="1"/>
  <c r="C19" i="8" s="1"/>
  <c r="N138" i="1"/>
  <c r="N153" i="1" s="1"/>
  <c r="I52" i="1"/>
  <c r="C11" i="8" s="1"/>
  <c r="N52" i="1"/>
  <c r="G43" i="5"/>
  <c r="G45" i="5" s="1"/>
  <c r="G127" i="1"/>
  <c r="I126" i="1"/>
  <c r="N126" i="1" s="1"/>
  <c r="G25" i="1"/>
  <c r="I23" i="1"/>
  <c r="N23" i="1" s="1"/>
  <c r="G14" i="1"/>
  <c r="I13" i="1"/>
  <c r="N13" i="1" s="1"/>
  <c r="G33" i="1"/>
  <c r="I28" i="1"/>
  <c r="N28" i="1" s="1"/>
  <c r="D157" i="1"/>
  <c r="G10" i="1"/>
  <c r="G360" i="2"/>
  <c r="G118" i="7"/>
  <c r="G77" i="7"/>
  <c r="D228" i="3"/>
  <c r="D230" i="3" s="1"/>
  <c r="G226" i="3"/>
  <c r="G37" i="3"/>
  <c r="E226" i="3"/>
  <c r="E118" i="7"/>
  <c r="E37" i="3"/>
  <c r="E129" i="1"/>
  <c r="E43" i="5"/>
  <c r="E77" i="7"/>
  <c r="D120" i="7"/>
  <c r="E187" i="3"/>
  <c r="E360" i="2"/>
  <c r="I16" i="8" l="1"/>
  <c r="N94" i="4"/>
  <c r="N104" i="4" s="1"/>
  <c r="N106" i="4" s="1"/>
  <c r="I118" i="7"/>
  <c r="I120" i="7" s="1"/>
  <c r="N136" i="3"/>
  <c r="I136" i="3"/>
  <c r="F6" i="8" s="1"/>
  <c r="I156" i="3"/>
  <c r="N226" i="3"/>
  <c r="I204" i="3"/>
  <c r="I226" i="3" s="1"/>
  <c r="I172" i="3"/>
  <c r="I185" i="3"/>
  <c r="I125" i="3"/>
  <c r="J155" i="3"/>
  <c r="I40" i="2"/>
  <c r="I42" i="2" s="1"/>
  <c r="N120" i="7"/>
  <c r="I9" i="7"/>
  <c r="N9" i="7"/>
  <c r="N11" i="7" s="1"/>
  <c r="N121" i="7" s="1"/>
  <c r="G83" i="6"/>
  <c r="G115" i="6" s="1"/>
  <c r="N62" i="6"/>
  <c r="N83" i="6" s="1"/>
  <c r="N115" i="6" s="1"/>
  <c r="I62" i="6"/>
  <c r="I188" i="4"/>
  <c r="I190" i="4" s="1"/>
  <c r="I164" i="4"/>
  <c r="I71" i="4"/>
  <c r="E20" i="8" s="1"/>
  <c r="G54" i="1"/>
  <c r="I127" i="1"/>
  <c r="N127" i="1"/>
  <c r="N129" i="1" s="1"/>
  <c r="N155" i="1" s="1"/>
  <c r="I33" i="1"/>
  <c r="N33" i="1"/>
  <c r="N10" i="1"/>
  <c r="I25" i="1"/>
  <c r="C7" i="8" s="1"/>
  <c r="N25" i="1"/>
  <c r="I14" i="1"/>
  <c r="C10" i="8" s="1"/>
  <c r="N14" i="1"/>
  <c r="G121" i="7"/>
  <c r="G129" i="1"/>
  <c r="G228" i="3"/>
  <c r="G230" i="3" s="1"/>
  <c r="G120" i="7"/>
  <c r="E121" i="7"/>
  <c r="E45" i="5"/>
  <c r="E120" i="7"/>
  <c r="C103" i="7"/>
  <c r="C175" i="4"/>
  <c r="I83" i="6" l="1"/>
  <c r="I115" i="6" s="1"/>
  <c r="G19" i="8"/>
  <c r="I187" i="3"/>
  <c r="F19" i="8"/>
  <c r="I127" i="3"/>
  <c r="F16" i="8"/>
  <c r="K155" i="3"/>
  <c r="L155" i="3" s="1"/>
  <c r="L156" i="3" s="1"/>
  <c r="L228" i="3" s="1"/>
  <c r="L230" i="3" s="1"/>
  <c r="I11" i="7"/>
  <c r="I121" i="7" s="1"/>
  <c r="I11" i="8"/>
  <c r="I166" i="4"/>
  <c r="E16" i="8"/>
  <c r="N54" i="1"/>
  <c r="N157" i="1" s="1"/>
  <c r="I54" i="1"/>
  <c r="C12" i="8"/>
  <c r="I129" i="1"/>
  <c r="C20" i="8"/>
  <c r="C204" i="3"/>
  <c r="J200" i="3"/>
  <c r="K200" i="3" s="1"/>
  <c r="I228" i="3" l="1"/>
  <c r="I230" i="3" s="1"/>
  <c r="N155" i="3"/>
  <c r="N156" i="3" s="1"/>
  <c r="N228" i="3" s="1"/>
  <c r="N230" i="3" s="1"/>
  <c r="J82" i="3"/>
  <c r="K82" i="3" s="1"/>
  <c r="C264" i="2" l="1"/>
  <c r="E264" i="2" s="1"/>
  <c r="J269" i="2"/>
  <c r="K269" i="2" s="1"/>
  <c r="J226" i="2"/>
  <c r="K226" i="2" s="1"/>
  <c r="E282" i="2" l="1"/>
  <c r="G264" i="2"/>
  <c r="C143" i="2"/>
  <c r="E143" i="2" s="1"/>
  <c r="G282" i="2" l="1"/>
  <c r="G298" i="2" s="1"/>
  <c r="I264" i="2"/>
  <c r="N264" i="2" s="1"/>
  <c r="E158" i="2"/>
  <c r="G143" i="2"/>
  <c r="C69" i="7"/>
  <c r="J68" i="7"/>
  <c r="K68" i="7" s="1"/>
  <c r="J67" i="7"/>
  <c r="K67" i="7" s="1"/>
  <c r="J66" i="7"/>
  <c r="K66" i="7" s="1"/>
  <c r="J65" i="7"/>
  <c r="K65" i="7" s="1"/>
  <c r="J64" i="7"/>
  <c r="K64" i="7" s="1"/>
  <c r="J63" i="7"/>
  <c r="K63" i="7" s="1"/>
  <c r="J62" i="7"/>
  <c r="K62" i="7" s="1"/>
  <c r="J61" i="7"/>
  <c r="K61" i="7" s="1"/>
  <c r="J60" i="7"/>
  <c r="K60" i="7" s="1"/>
  <c r="J59" i="7"/>
  <c r="K59" i="7" s="1"/>
  <c r="J58" i="7"/>
  <c r="K58" i="7" s="1"/>
  <c r="J57" i="7"/>
  <c r="K57" i="7" s="1"/>
  <c r="J56" i="7"/>
  <c r="K56" i="7" s="1"/>
  <c r="J55" i="7"/>
  <c r="K55" i="7" s="1"/>
  <c r="J54" i="7"/>
  <c r="K54" i="7" s="1"/>
  <c r="J53" i="7"/>
  <c r="K53" i="7" s="1"/>
  <c r="J52" i="7"/>
  <c r="K52" i="7" s="1"/>
  <c r="J51" i="7"/>
  <c r="K51" i="7" s="1"/>
  <c r="J50" i="7"/>
  <c r="J49" i="7"/>
  <c r="C46" i="7"/>
  <c r="J69" i="7" l="1"/>
  <c r="N282" i="2"/>
  <c r="N298" i="2" s="1"/>
  <c r="G158" i="2"/>
  <c r="G173" i="2" s="1"/>
  <c r="G362" i="2" s="1"/>
  <c r="G364" i="2" s="1"/>
  <c r="I143" i="2"/>
  <c r="N143" i="2" s="1"/>
  <c r="N158" i="2" s="1"/>
  <c r="N173" i="2" s="1"/>
  <c r="I282" i="2"/>
  <c r="C77" i="7"/>
  <c r="K50" i="7"/>
  <c r="K49" i="7"/>
  <c r="K69" i="7" s="1"/>
  <c r="J99" i="2"/>
  <c r="K99" i="2" s="1"/>
  <c r="J69" i="2"/>
  <c r="K69" i="2" s="1"/>
  <c r="N362" i="2" l="1"/>
  <c r="N364" i="2" s="1"/>
  <c r="I158" i="2"/>
  <c r="I173" i="2" s="1"/>
  <c r="I298" i="2"/>
  <c r="J21" i="7"/>
  <c r="K21" i="7" s="1"/>
  <c r="J41" i="7"/>
  <c r="K41" i="7" s="1"/>
  <c r="J43" i="7"/>
  <c r="K43" i="7" s="1"/>
  <c r="C172" i="3"/>
  <c r="C187" i="3" s="1"/>
  <c r="J166" i="3"/>
  <c r="J172" i="3" s="1"/>
  <c r="J187" i="3" s="1"/>
  <c r="I362" i="2" l="1"/>
  <c r="I364" i="2" s="1"/>
  <c r="D19" i="8"/>
  <c r="K166" i="3"/>
  <c r="K172" i="3" s="1"/>
  <c r="K187" i="3" s="1"/>
  <c r="J20" i="3"/>
  <c r="K20" i="3" s="1"/>
  <c r="J324" i="2"/>
  <c r="K324" i="2" s="1"/>
  <c r="J322" i="2"/>
  <c r="K322" i="2" s="1"/>
  <c r="J271" i="2"/>
  <c r="K271" i="2" s="1"/>
  <c r="J88" i="4" l="1"/>
  <c r="K88" i="4" s="1"/>
  <c r="J330" i="2" l="1"/>
  <c r="K330" i="2" s="1"/>
  <c r="J329" i="2"/>
  <c r="K329" i="2" s="1"/>
  <c r="J328" i="2"/>
  <c r="K328" i="2" s="1"/>
  <c r="J327" i="2"/>
  <c r="K327" i="2" s="1"/>
  <c r="J321" i="2"/>
  <c r="K321" i="2" s="1"/>
  <c r="J320" i="2"/>
  <c r="K320" i="2" s="1"/>
  <c r="J319" i="2"/>
  <c r="K319" i="2" s="1"/>
  <c r="C339" i="2" l="1"/>
  <c r="J172" i="4" l="1"/>
  <c r="J26" i="4"/>
  <c r="K26" i="4" s="1"/>
  <c r="C282" i="2"/>
  <c r="J270" i="2"/>
  <c r="K270" i="2" s="1"/>
  <c r="J280" i="2"/>
  <c r="K280" i="2" s="1"/>
  <c r="J279" i="2"/>
  <c r="K279" i="2" s="1"/>
  <c r="J278" i="2"/>
  <c r="K278" i="2" s="1"/>
  <c r="J277" i="2"/>
  <c r="K277" i="2" s="1"/>
  <c r="J276" i="2"/>
  <c r="K276" i="2" s="1"/>
  <c r="J275" i="2"/>
  <c r="K275" i="2" s="1"/>
  <c r="J285" i="2"/>
  <c r="K285" i="2" s="1"/>
  <c r="J286" i="2"/>
  <c r="K286" i="2" s="1"/>
  <c r="J287" i="2"/>
  <c r="K287" i="2" s="1"/>
  <c r="J288" i="2"/>
  <c r="K288" i="2" s="1"/>
  <c r="K172" i="4" l="1"/>
  <c r="J255" i="2"/>
  <c r="K255" i="2"/>
  <c r="E257" i="2"/>
  <c r="C242" i="2"/>
  <c r="E173" i="2"/>
  <c r="J46" i="4"/>
  <c r="K46" i="4" s="1"/>
  <c r="J127" i="4"/>
  <c r="K127" i="4" s="1"/>
  <c r="J145" i="4"/>
  <c r="K145" i="4" s="1"/>
  <c r="J144" i="4"/>
  <c r="K144" i="4" s="1"/>
  <c r="C257" i="2" l="1"/>
  <c r="C158" i="2"/>
  <c r="C173" i="2" s="1"/>
  <c r="J241" i="2"/>
  <c r="K241" i="2" s="1"/>
  <c r="J240" i="2"/>
  <c r="K240" i="2" s="1"/>
  <c r="J239" i="2"/>
  <c r="K239" i="2" s="1"/>
  <c r="J238" i="2"/>
  <c r="K238" i="2" s="1"/>
  <c r="J237" i="2"/>
  <c r="K237" i="2" s="1"/>
  <c r="J236" i="2"/>
  <c r="K236" i="2" s="1"/>
  <c r="J235" i="2"/>
  <c r="K235" i="2" s="1"/>
  <c r="J234" i="2"/>
  <c r="K234" i="2" s="1"/>
  <c r="J233" i="2"/>
  <c r="K233" i="2" s="1"/>
  <c r="J232" i="2"/>
  <c r="K232" i="2" s="1"/>
  <c r="J231" i="2"/>
  <c r="K231" i="2" s="1"/>
  <c r="J230" i="2"/>
  <c r="K230" i="2" s="1"/>
  <c r="J229" i="2"/>
  <c r="K229" i="2" s="1"/>
  <c r="J228" i="2"/>
  <c r="K228" i="2" s="1"/>
  <c r="J227" i="2"/>
  <c r="K227" i="2" s="1"/>
  <c r="J225" i="2"/>
  <c r="K225" i="2" s="1"/>
  <c r="J224" i="2"/>
  <c r="K224" i="2" s="1"/>
  <c r="J223" i="2"/>
  <c r="K223" i="2" s="1"/>
  <c r="J222" i="2"/>
  <c r="K222" i="2" s="1"/>
  <c r="J221" i="2"/>
  <c r="K221" i="2" s="1"/>
  <c r="J220" i="2"/>
  <c r="K220" i="2" s="1"/>
  <c r="J219" i="2"/>
  <c r="K219" i="2" s="1"/>
  <c r="J218" i="2"/>
  <c r="K218" i="2" s="1"/>
  <c r="J217" i="2"/>
  <c r="K217" i="2" s="1"/>
  <c r="J216" i="2"/>
  <c r="K216" i="2" s="1"/>
  <c r="J215" i="2"/>
  <c r="K215" i="2" s="1"/>
  <c r="J214" i="2"/>
  <c r="K214" i="2" s="1"/>
  <c r="J213" i="2"/>
  <c r="K213" i="2" s="1"/>
  <c r="J212" i="2"/>
  <c r="K212" i="2" s="1"/>
  <c r="J211" i="2"/>
  <c r="K211" i="2" s="1"/>
  <c r="J210" i="2"/>
  <c r="K210" i="2" s="1"/>
  <c r="J209" i="2"/>
  <c r="K209" i="2" s="1"/>
  <c r="J208" i="2"/>
  <c r="K208" i="2" s="1"/>
  <c r="J207" i="2"/>
  <c r="K207" i="2" s="1"/>
  <c r="J206" i="2"/>
  <c r="K206" i="2" s="1"/>
  <c r="J205" i="2"/>
  <c r="K205" i="2" s="1"/>
  <c r="J204" i="2"/>
  <c r="K204" i="2" s="1"/>
  <c r="J202" i="2"/>
  <c r="K202" i="2" s="1"/>
  <c r="J201" i="2"/>
  <c r="K201" i="2" s="1"/>
  <c r="J199" i="2"/>
  <c r="K199" i="2" s="1"/>
  <c r="J198" i="2"/>
  <c r="K198" i="2" s="1"/>
  <c r="J197" i="2"/>
  <c r="K197" i="2" s="1"/>
  <c r="J196" i="2"/>
  <c r="K196" i="2" s="1"/>
  <c r="J195" i="2"/>
  <c r="K195" i="2" s="1"/>
  <c r="J194" i="2"/>
  <c r="K194" i="2" s="1"/>
  <c r="J193" i="2"/>
  <c r="K193" i="2" s="1"/>
  <c r="J192" i="2"/>
  <c r="K192" i="2" s="1"/>
  <c r="J191" i="2"/>
  <c r="K191" i="2" s="1"/>
  <c r="J190" i="2"/>
  <c r="K190" i="2" s="1"/>
  <c r="J189" i="2"/>
  <c r="K189" i="2" s="1"/>
  <c r="J188" i="2"/>
  <c r="K188" i="2" s="1"/>
  <c r="J187" i="2"/>
  <c r="K187" i="2" s="1"/>
  <c r="J186" i="2"/>
  <c r="K186" i="2" s="1"/>
  <c r="J185" i="2"/>
  <c r="K185" i="2" s="1"/>
  <c r="J184" i="2"/>
  <c r="K184" i="2" s="1"/>
  <c r="J183" i="2"/>
  <c r="K183" i="2" s="1"/>
  <c r="J182" i="2"/>
  <c r="K182" i="2" s="1"/>
  <c r="J181" i="2"/>
  <c r="K181" i="2" s="1"/>
  <c r="J180" i="2"/>
  <c r="K180" i="2" s="1"/>
  <c r="J179" i="2"/>
  <c r="K179" i="2" s="1"/>
  <c r="J178" i="2"/>
  <c r="K178" i="2" s="1"/>
  <c r="J177" i="2"/>
  <c r="J176" i="2"/>
  <c r="K176" i="2" s="1"/>
  <c r="J175" i="2"/>
  <c r="K175" i="2" s="1"/>
  <c r="J159" i="2"/>
  <c r="K159" i="2" s="1"/>
  <c r="J156" i="2"/>
  <c r="K156" i="2" s="1"/>
  <c r="J155" i="2"/>
  <c r="K155" i="2" s="1"/>
  <c r="J154" i="2"/>
  <c r="K154" i="2" s="1"/>
  <c r="J153" i="2"/>
  <c r="K153" i="2" s="1"/>
  <c r="J152" i="2"/>
  <c r="K152" i="2" s="1"/>
  <c r="J151" i="2"/>
  <c r="K151" i="2" s="1"/>
  <c r="J150" i="2"/>
  <c r="K150" i="2" s="1"/>
  <c r="J149" i="2"/>
  <c r="K149" i="2" s="1"/>
  <c r="J148" i="2"/>
  <c r="K148" i="2" s="1"/>
  <c r="J147" i="2"/>
  <c r="K147" i="2" s="1"/>
  <c r="J146" i="2"/>
  <c r="K146" i="2" s="1"/>
  <c r="J145" i="2"/>
  <c r="K145" i="2" s="1"/>
  <c r="J144" i="2"/>
  <c r="K144" i="2" s="1"/>
  <c r="J143" i="2"/>
  <c r="K143" i="2" s="1"/>
  <c r="J142" i="2"/>
  <c r="K142" i="2" s="1"/>
  <c r="J141" i="2"/>
  <c r="K141" i="2" s="1"/>
  <c r="J140" i="2"/>
  <c r="K140" i="2" s="1"/>
  <c r="J139" i="2"/>
  <c r="K139" i="2" s="1"/>
  <c r="J138" i="2"/>
  <c r="K138" i="2" s="1"/>
  <c r="J137" i="2"/>
  <c r="K137" i="2" s="1"/>
  <c r="J136" i="2"/>
  <c r="K136" i="2" s="1"/>
  <c r="J135" i="2"/>
  <c r="K135" i="2" s="1"/>
  <c r="J134" i="2"/>
  <c r="K134" i="2" s="1"/>
  <c r="J133" i="2"/>
  <c r="K133" i="2" s="1"/>
  <c r="J132" i="2"/>
  <c r="K132" i="2" s="1"/>
  <c r="J131" i="2"/>
  <c r="K131" i="2" s="1"/>
  <c r="J130" i="2"/>
  <c r="K130" i="2" s="1"/>
  <c r="J129" i="2"/>
  <c r="K129" i="2" s="1"/>
  <c r="J128" i="2"/>
  <c r="K128" i="2" s="1"/>
  <c r="J127" i="2"/>
  <c r="K127" i="2" s="1"/>
  <c r="J126" i="2"/>
  <c r="K126" i="2" s="1"/>
  <c r="J125" i="2"/>
  <c r="K125" i="2" s="1"/>
  <c r="J124" i="2"/>
  <c r="K124" i="2" s="1"/>
  <c r="J123" i="2"/>
  <c r="K123" i="2" s="1"/>
  <c r="J122" i="2"/>
  <c r="K122" i="2" s="1"/>
  <c r="J121" i="2"/>
  <c r="K121" i="2" s="1"/>
  <c r="J120" i="2"/>
  <c r="K120" i="2" s="1"/>
  <c r="J119" i="2"/>
  <c r="K119" i="2" s="1"/>
  <c r="J118" i="2"/>
  <c r="K118" i="2" s="1"/>
  <c r="J117" i="2"/>
  <c r="K117" i="2" s="1"/>
  <c r="J116" i="2"/>
  <c r="K116" i="2" s="1"/>
  <c r="J115" i="2"/>
  <c r="K115" i="2" s="1"/>
  <c r="J114" i="2"/>
  <c r="K114" i="2" s="1"/>
  <c r="J113" i="2"/>
  <c r="K113" i="2" s="1"/>
  <c r="J112" i="2"/>
  <c r="K112" i="2" s="1"/>
  <c r="J111" i="2"/>
  <c r="K111" i="2" s="1"/>
  <c r="J110" i="2"/>
  <c r="K110" i="2" s="1"/>
  <c r="J109" i="2"/>
  <c r="K109" i="2" s="1"/>
  <c r="J108" i="2"/>
  <c r="K108" i="2" s="1"/>
  <c r="J107" i="2"/>
  <c r="K107" i="2" s="1"/>
  <c r="J106" i="2"/>
  <c r="K106" i="2" s="1"/>
  <c r="J105" i="2"/>
  <c r="K105" i="2" s="1"/>
  <c r="J104" i="2"/>
  <c r="K104" i="2" s="1"/>
  <c r="J103" i="2"/>
  <c r="K103" i="2" s="1"/>
  <c r="J102" i="2"/>
  <c r="K102" i="2" s="1"/>
  <c r="J101" i="2"/>
  <c r="K101" i="2" s="1"/>
  <c r="J100" i="2"/>
  <c r="K100" i="2" s="1"/>
  <c r="J98" i="2"/>
  <c r="K98" i="2" s="1"/>
  <c r="J97" i="2"/>
  <c r="K97" i="2" s="1"/>
  <c r="J96" i="2"/>
  <c r="K96" i="2" s="1"/>
  <c r="J95" i="2"/>
  <c r="K95" i="2" s="1"/>
  <c r="J94" i="2"/>
  <c r="K94" i="2" s="1"/>
  <c r="J93" i="2"/>
  <c r="K93" i="2" s="1"/>
  <c r="J92" i="2"/>
  <c r="K92" i="2" s="1"/>
  <c r="J91" i="2"/>
  <c r="K91" i="2" s="1"/>
  <c r="J90" i="2"/>
  <c r="K90" i="2" s="1"/>
  <c r="J89" i="2"/>
  <c r="K89" i="2" s="1"/>
  <c r="J88" i="2"/>
  <c r="K88" i="2" s="1"/>
  <c r="J87" i="2"/>
  <c r="K87" i="2" s="1"/>
  <c r="J86" i="2"/>
  <c r="K86" i="2" s="1"/>
  <c r="J85" i="2"/>
  <c r="K85" i="2" s="1"/>
  <c r="J84" i="2"/>
  <c r="K84" i="2" s="1"/>
  <c r="J83" i="2"/>
  <c r="K83" i="2" s="1"/>
  <c r="J82" i="2"/>
  <c r="K82" i="2" s="1"/>
  <c r="J81" i="2"/>
  <c r="K81" i="2" s="1"/>
  <c r="J80" i="2"/>
  <c r="K80" i="2" s="1"/>
  <c r="J79" i="2"/>
  <c r="K79" i="2" s="1"/>
  <c r="J78" i="2"/>
  <c r="K78" i="2" s="1"/>
  <c r="J77" i="2"/>
  <c r="K77" i="2" s="1"/>
  <c r="J76" i="2"/>
  <c r="K76" i="2" s="1"/>
  <c r="J75" i="2"/>
  <c r="K75" i="2" s="1"/>
  <c r="J74" i="2"/>
  <c r="K74" i="2" s="1"/>
  <c r="J73" i="2"/>
  <c r="K73" i="2" s="1"/>
  <c r="J72" i="2"/>
  <c r="K72" i="2" s="1"/>
  <c r="J71" i="2"/>
  <c r="K71" i="2" s="1"/>
  <c r="J70" i="2"/>
  <c r="K70" i="2" s="1"/>
  <c r="J68" i="2"/>
  <c r="K68" i="2" s="1"/>
  <c r="J67" i="2"/>
  <c r="K67" i="2" s="1"/>
  <c r="J66" i="2"/>
  <c r="K66" i="2" s="1"/>
  <c r="J65" i="2"/>
  <c r="K65" i="2" s="1"/>
  <c r="J64" i="2"/>
  <c r="K64" i="2" s="1"/>
  <c r="J63" i="2"/>
  <c r="K63" i="2" s="1"/>
  <c r="J62" i="2"/>
  <c r="K62" i="2" s="1"/>
  <c r="J61" i="2"/>
  <c r="K61" i="2" s="1"/>
  <c r="J60" i="2"/>
  <c r="K60" i="2" s="1"/>
  <c r="J59" i="2"/>
  <c r="K59" i="2" s="1"/>
  <c r="J58" i="2"/>
  <c r="K58" i="2" s="1"/>
  <c r="J57" i="2"/>
  <c r="K57" i="2" s="1"/>
  <c r="J56" i="2"/>
  <c r="K56" i="2" s="1"/>
  <c r="J55" i="2"/>
  <c r="K55" i="2" s="1"/>
  <c r="J54" i="2"/>
  <c r="K54" i="2" s="1"/>
  <c r="J53" i="2"/>
  <c r="K53" i="2" s="1"/>
  <c r="J52" i="2"/>
  <c r="K52" i="2" s="1"/>
  <c r="J51" i="2"/>
  <c r="K51" i="2" s="1"/>
  <c r="J50" i="2"/>
  <c r="K50" i="2" s="1"/>
  <c r="J49" i="2"/>
  <c r="K49" i="2" s="1"/>
  <c r="J48" i="2"/>
  <c r="J158" i="2" l="1"/>
  <c r="J173" i="2" s="1"/>
  <c r="J242" i="2"/>
  <c r="J257" i="2" s="1"/>
  <c r="K48" i="2"/>
  <c r="K158" i="2" s="1"/>
  <c r="K173" i="2" s="1"/>
  <c r="K177" i="2"/>
  <c r="K242" i="2" s="1"/>
  <c r="K257" i="2" s="1"/>
  <c r="J188" i="4"/>
  <c r="C188" i="4"/>
  <c r="J164" i="4"/>
  <c r="C164" i="4"/>
  <c r="C151" i="4"/>
  <c r="J146" i="4"/>
  <c r="K146" i="4" s="1"/>
  <c r="J147" i="4"/>
  <c r="K147" i="4" s="1"/>
  <c r="J143" i="4"/>
  <c r="K143" i="4" s="1"/>
  <c r="J142" i="4"/>
  <c r="K142" i="4" s="1"/>
  <c r="J140" i="4"/>
  <c r="K140" i="4" s="1"/>
  <c r="J139" i="4"/>
  <c r="K139" i="4" s="1"/>
  <c r="J138" i="4"/>
  <c r="K138" i="4" s="1"/>
  <c r="J137" i="4"/>
  <c r="K137" i="4" s="1"/>
  <c r="J136" i="4"/>
  <c r="K136" i="4" s="1"/>
  <c r="E166" i="4" l="1"/>
  <c r="E190" i="4"/>
  <c r="G190" i="4"/>
  <c r="C190" i="4"/>
  <c r="C166" i="4"/>
  <c r="C104" i="4"/>
  <c r="C91" i="4"/>
  <c r="J173" i="4"/>
  <c r="J175" i="4" s="1"/>
  <c r="J190" i="4" s="1"/>
  <c r="J134" i="4"/>
  <c r="K134" i="4" s="1"/>
  <c r="J133" i="4"/>
  <c r="K133" i="4" s="1"/>
  <c r="J132" i="4"/>
  <c r="K132" i="4" s="1"/>
  <c r="J131" i="4"/>
  <c r="K131" i="4" s="1"/>
  <c r="J130" i="4"/>
  <c r="K130" i="4" s="1"/>
  <c r="J129" i="4"/>
  <c r="K129" i="4" s="1"/>
  <c r="J128" i="4"/>
  <c r="K128" i="4" s="1"/>
  <c r="J126" i="4"/>
  <c r="K126" i="4" s="1"/>
  <c r="J125" i="4"/>
  <c r="K125" i="4" s="1"/>
  <c r="J124" i="4"/>
  <c r="K124" i="4" s="1"/>
  <c r="J123" i="4"/>
  <c r="K123" i="4" s="1"/>
  <c r="J122" i="4"/>
  <c r="K122" i="4" s="1"/>
  <c r="J121" i="4"/>
  <c r="K121" i="4" s="1"/>
  <c r="J120" i="4"/>
  <c r="K120" i="4" s="1"/>
  <c r="J119" i="4"/>
  <c r="K119" i="4" s="1"/>
  <c r="J118" i="4"/>
  <c r="K118" i="4" s="1"/>
  <c r="J117" i="4"/>
  <c r="K117" i="4" s="1"/>
  <c r="J116" i="4"/>
  <c r="K116" i="4" s="1"/>
  <c r="J115" i="4"/>
  <c r="K115" i="4" s="1"/>
  <c r="J114" i="4"/>
  <c r="K114" i="4" s="1"/>
  <c r="J113" i="4"/>
  <c r="J112" i="4"/>
  <c r="K112" i="4" s="1"/>
  <c r="J111" i="4"/>
  <c r="K111" i="4" s="1"/>
  <c r="J110" i="4"/>
  <c r="K110" i="4" s="1"/>
  <c r="J109" i="4"/>
  <c r="K109" i="4" s="1"/>
  <c r="J108" i="4"/>
  <c r="K108" i="4" s="1"/>
  <c r="J103" i="4"/>
  <c r="K103" i="4" s="1"/>
  <c r="J102" i="4"/>
  <c r="K102" i="4" s="1"/>
  <c r="J101" i="4"/>
  <c r="K101" i="4" s="1"/>
  <c r="J100" i="4"/>
  <c r="K100" i="4" s="1"/>
  <c r="J99" i="4"/>
  <c r="K99" i="4" s="1"/>
  <c r="J98" i="4"/>
  <c r="K98" i="4" s="1"/>
  <c r="J97" i="4"/>
  <c r="K97" i="4" s="1"/>
  <c r="J96" i="4"/>
  <c r="K96" i="4" s="1"/>
  <c r="J95" i="4"/>
  <c r="K95" i="4" s="1"/>
  <c r="J94" i="4"/>
  <c r="K94" i="4" s="1"/>
  <c r="J93" i="4"/>
  <c r="K93" i="4" s="1"/>
  <c r="J92" i="4"/>
  <c r="K92" i="4" s="1"/>
  <c r="J90" i="4"/>
  <c r="K90" i="4" s="1"/>
  <c r="J89" i="4"/>
  <c r="K89" i="4" s="1"/>
  <c r="J87" i="4"/>
  <c r="K87" i="4" s="1"/>
  <c r="J86" i="4"/>
  <c r="K86" i="4" s="1"/>
  <c r="J85" i="4"/>
  <c r="K85" i="4" s="1"/>
  <c r="J84" i="4"/>
  <c r="K84" i="4" s="1"/>
  <c r="J83" i="4"/>
  <c r="K83" i="4" s="1"/>
  <c r="J82" i="4"/>
  <c r="K82" i="4" s="1"/>
  <c r="J81" i="4"/>
  <c r="K81" i="4" s="1"/>
  <c r="J80" i="4"/>
  <c r="K80" i="4" s="1"/>
  <c r="J79" i="4"/>
  <c r="J151" i="4" l="1"/>
  <c r="J166" i="4" s="1"/>
  <c r="J91" i="4"/>
  <c r="G166" i="4"/>
  <c r="E106" i="4"/>
  <c r="K79" i="4"/>
  <c r="K91" i="4" s="1"/>
  <c r="K173" i="4"/>
  <c r="K175" i="4" s="1"/>
  <c r="K190" i="4" s="1"/>
  <c r="K113" i="4"/>
  <c r="K151" i="4" s="1"/>
  <c r="K166" i="4" s="1"/>
  <c r="C106" i="4"/>
  <c r="K104" i="4"/>
  <c r="J104" i="4"/>
  <c r="J106" i="4" s="1"/>
  <c r="J70" i="4"/>
  <c r="J71" i="4" s="1"/>
  <c r="J66" i="4"/>
  <c r="K66" i="4" s="1"/>
  <c r="J65" i="4"/>
  <c r="K65" i="4" s="1"/>
  <c r="J64" i="4"/>
  <c r="K64" i="4" s="1"/>
  <c r="J63" i="4"/>
  <c r="K63" i="4" s="1"/>
  <c r="J62" i="4"/>
  <c r="K62" i="4" s="1"/>
  <c r="J61" i="4"/>
  <c r="K61" i="4" s="1"/>
  <c r="J60" i="4"/>
  <c r="K60" i="4" s="1"/>
  <c r="J59" i="4"/>
  <c r="K59" i="4" s="1"/>
  <c r="J58" i="4"/>
  <c r="K58" i="4" s="1"/>
  <c r="J57" i="4"/>
  <c r="K57" i="4" s="1"/>
  <c r="J56" i="4"/>
  <c r="K56" i="4" s="1"/>
  <c r="J55" i="4"/>
  <c r="K55" i="4" s="1"/>
  <c r="J54" i="4"/>
  <c r="K54" i="4" s="1"/>
  <c r="J53" i="4"/>
  <c r="K53" i="4" s="1"/>
  <c r="J52" i="4"/>
  <c r="K52" i="4" s="1"/>
  <c r="J51" i="4"/>
  <c r="J47" i="4"/>
  <c r="K47" i="4" s="1"/>
  <c r="J43" i="4"/>
  <c r="K43" i="4" s="1"/>
  <c r="J42" i="4"/>
  <c r="K42" i="4" s="1"/>
  <c r="J41" i="4"/>
  <c r="K41" i="4" s="1"/>
  <c r="J40" i="4"/>
  <c r="K40" i="4" s="1"/>
  <c r="J39" i="4"/>
  <c r="K39" i="4" s="1"/>
  <c r="J38" i="4"/>
  <c r="K38" i="4" s="1"/>
  <c r="J37" i="4"/>
  <c r="K37" i="4" s="1"/>
  <c r="J36" i="4"/>
  <c r="K36" i="4" s="1"/>
  <c r="J35" i="4"/>
  <c r="K35" i="4" s="1"/>
  <c r="J34" i="4"/>
  <c r="K34" i="4" s="1"/>
  <c r="J33" i="4"/>
  <c r="K33" i="4" s="1"/>
  <c r="J32" i="4"/>
  <c r="K32" i="4" s="1"/>
  <c r="J31" i="4"/>
  <c r="K31" i="4" s="1"/>
  <c r="J30" i="4"/>
  <c r="K30" i="4" s="1"/>
  <c r="J29" i="4"/>
  <c r="K29" i="4" s="1"/>
  <c r="J25" i="4"/>
  <c r="K25" i="4" s="1"/>
  <c r="J24" i="4"/>
  <c r="K24" i="4" s="1"/>
  <c r="J23" i="4"/>
  <c r="K23" i="4" s="1"/>
  <c r="J22" i="4"/>
  <c r="K22" i="4" s="1"/>
  <c r="J21" i="4"/>
  <c r="K21" i="4" s="1"/>
  <c r="J20" i="4"/>
  <c r="K20" i="4" s="1"/>
  <c r="J19" i="4"/>
  <c r="K19" i="4" s="1"/>
  <c r="J18" i="4"/>
  <c r="K18" i="4" s="1"/>
  <c r="J17" i="4"/>
  <c r="K17" i="4" s="1"/>
  <c r="J16" i="4"/>
  <c r="K16" i="4" s="1"/>
  <c r="J15" i="4"/>
  <c r="K15" i="4" s="1"/>
  <c r="J14" i="4"/>
  <c r="K14" i="4" s="1"/>
  <c r="J13" i="4"/>
  <c r="K13" i="4" s="1"/>
  <c r="J12" i="4"/>
  <c r="K12" i="4" s="1"/>
  <c r="J11" i="4"/>
  <c r="K11" i="4" s="1"/>
  <c r="J10" i="4"/>
  <c r="K10" i="4" s="1"/>
  <c r="J9" i="4"/>
  <c r="K9" i="4" s="1"/>
  <c r="J8" i="4"/>
  <c r="K8" i="4" s="1"/>
  <c r="K106" i="4" l="1"/>
  <c r="J67" i="4"/>
  <c r="K51" i="4"/>
  <c r="K67" i="4" s="1"/>
  <c r="K70" i="4"/>
  <c r="K71" i="4" s="1"/>
  <c r="C142" i="3"/>
  <c r="C136" i="3"/>
  <c r="J6" i="8" s="1"/>
  <c r="J134" i="3"/>
  <c r="J136" i="3" s="1"/>
  <c r="J46" i="1"/>
  <c r="K46" i="1" s="1"/>
  <c r="J44" i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6" i="1"/>
  <c r="J32" i="1"/>
  <c r="K32" i="1" s="1"/>
  <c r="J31" i="1"/>
  <c r="K31" i="1" s="1"/>
  <c r="J30" i="1"/>
  <c r="K30" i="1" s="1"/>
  <c r="J29" i="1"/>
  <c r="K29" i="1" s="1"/>
  <c r="J28" i="1"/>
  <c r="J24" i="1"/>
  <c r="K24" i="1" s="1"/>
  <c r="J23" i="1"/>
  <c r="J25" i="1" s="1"/>
  <c r="J19" i="1"/>
  <c r="K19" i="1" s="1"/>
  <c r="J18" i="1"/>
  <c r="K18" i="1" s="1"/>
  <c r="J17" i="1"/>
  <c r="J13" i="1"/>
  <c r="J14" i="1" s="1"/>
  <c r="J9" i="1"/>
  <c r="J10" i="1" s="1"/>
  <c r="K8" i="1"/>
  <c r="J20" i="1" l="1"/>
  <c r="J33" i="1"/>
  <c r="J47" i="1"/>
  <c r="K28" i="1"/>
  <c r="K33" i="1" s="1"/>
  <c r="K9" i="1"/>
  <c r="K10" i="1" s="1"/>
  <c r="K36" i="1"/>
  <c r="K47" i="1" s="1"/>
  <c r="K13" i="1"/>
  <c r="K14" i="1" s="1"/>
  <c r="K17" i="1"/>
  <c r="K20" i="1" s="1"/>
  <c r="K23" i="1"/>
  <c r="K25" i="1" s="1"/>
  <c r="K134" i="3"/>
  <c r="K136" i="3" s="1"/>
  <c r="E6" i="9"/>
  <c r="I6" i="9" s="1"/>
  <c r="J149" i="1"/>
  <c r="K149" i="1" s="1"/>
  <c r="J148" i="1"/>
  <c r="K148" i="1" s="1"/>
  <c r="J147" i="1"/>
  <c r="K147" i="1" s="1"/>
  <c r="J146" i="1"/>
  <c r="K146" i="1" s="1"/>
  <c r="J145" i="1"/>
  <c r="K145" i="1" s="1"/>
  <c r="J144" i="1"/>
  <c r="K144" i="1" s="1"/>
  <c r="J143" i="1"/>
  <c r="K143" i="1" s="1"/>
  <c r="J142" i="1"/>
  <c r="K142" i="1" s="1"/>
  <c r="J141" i="1"/>
  <c r="K141" i="1" s="1"/>
  <c r="J136" i="1"/>
  <c r="K136" i="1" s="1"/>
  <c r="J135" i="1"/>
  <c r="J126" i="1"/>
  <c r="J127" i="1" s="1"/>
  <c r="J122" i="1"/>
  <c r="K122" i="1" s="1"/>
  <c r="J121" i="1"/>
  <c r="K121" i="1" s="1"/>
  <c r="J119" i="1"/>
  <c r="K119" i="1" s="1"/>
  <c r="J118" i="1"/>
  <c r="K118" i="1" s="1"/>
  <c r="J117" i="1"/>
  <c r="K117" i="1" s="1"/>
  <c r="J116" i="1"/>
  <c r="K116" i="1" s="1"/>
  <c r="J115" i="1"/>
  <c r="K115" i="1" s="1"/>
  <c r="J114" i="1"/>
  <c r="K114" i="1" s="1"/>
  <c r="J113" i="1"/>
  <c r="K113" i="1" s="1"/>
  <c r="J112" i="1"/>
  <c r="K112" i="1" s="1"/>
  <c r="J111" i="1"/>
  <c r="K111" i="1" s="1"/>
  <c r="J110" i="1"/>
  <c r="K110" i="1" s="1"/>
  <c r="J109" i="1"/>
  <c r="K109" i="1" s="1"/>
  <c r="J108" i="1"/>
  <c r="K108" i="1" s="1"/>
  <c r="J107" i="1"/>
  <c r="K107" i="1" s="1"/>
  <c r="J106" i="1"/>
  <c r="K106" i="1" s="1"/>
  <c r="J105" i="1"/>
  <c r="K105" i="1" s="1"/>
  <c r="J104" i="1"/>
  <c r="J100" i="1"/>
  <c r="K100" i="1" s="1"/>
  <c r="J99" i="1"/>
  <c r="K99" i="1" s="1"/>
  <c r="J98" i="1"/>
  <c r="K98" i="1" s="1"/>
  <c r="J97" i="1"/>
  <c r="K97" i="1" s="1"/>
  <c r="J96" i="1"/>
  <c r="K96" i="1" s="1"/>
  <c r="J95" i="1"/>
  <c r="K95" i="1" s="1"/>
  <c r="J94" i="1"/>
  <c r="K94" i="1" s="1"/>
  <c r="J93" i="1"/>
  <c r="K93" i="1" s="1"/>
  <c r="J92" i="1"/>
  <c r="K92" i="1" s="1"/>
  <c r="J91" i="1"/>
  <c r="K91" i="1" s="1"/>
  <c r="J90" i="1"/>
  <c r="K90" i="1" s="1"/>
  <c r="J89" i="1"/>
  <c r="K89" i="1" s="1"/>
  <c r="J88" i="1"/>
  <c r="K88" i="1" s="1"/>
  <c r="J87" i="1"/>
  <c r="K87" i="1" s="1"/>
  <c r="J86" i="1"/>
  <c r="J85" i="1"/>
  <c r="K85" i="1" s="1"/>
  <c r="J84" i="1"/>
  <c r="K84" i="1" s="1"/>
  <c r="J83" i="1"/>
  <c r="K83" i="1" s="1"/>
  <c r="J82" i="1"/>
  <c r="K82" i="1" s="1"/>
  <c r="J81" i="1"/>
  <c r="K81" i="1" s="1"/>
  <c r="J80" i="1"/>
  <c r="K80" i="1" s="1"/>
  <c r="J79" i="1"/>
  <c r="K79" i="1" s="1"/>
  <c r="J78" i="1"/>
  <c r="K78" i="1" s="1"/>
  <c r="J77" i="1"/>
  <c r="K77" i="1" s="1"/>
  <c r="J76" i="1"/>
  <c r="K76" i="1" s="1"/>
  <c r="J75" i="1"/>
  <c r="K75" i="1" s="1"/>
  <c r="J74" i="1"/>
  <c r="K74" i="1" s="1"/>
  <c r="J73" i="1"/>
  <c r="K73" i="1" s="1"/>
  <c r="J72" i="1"/>
  <c r="J67" i="1"/>
  <c r="K67" i="1" s="1"/>
  <c r="J65" i="1"/>
  <c r="K65" i="1" s="1"/>
  <c r="J64" i="1"/>
  <c r="K64" i="1" s="1"/>
  <c r="J63" i="1"/>
  <c r="K63" i="1" s="1"/>
  <c r="J62" i="1"/>
  <c r="K62" i="1" s="1"/>
  <c r="J61" i="1"/>
  <c r="K61" i="1" s="1"/>
  <c r="J60" i="1"/>
  <c r="C151" i="1"/>
  <c r="E151" i="1" s="1"/>
  <c r="C138" i="1"/>
  <c r="J40" i="5"/>
  <c r="K40" i="5" s="1"/>
  <c r="J39" i="5"/>
  <c r="K39" i="5" s="1"/>
  <c r="J38" i="5"/>
  <c r="K38" i="5" s="1"/>
  <c r="J37" i="5"/>
  <c r="K37" i="5" s="1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J41" i="5" l="1"/>
  <c r="J138" i="1"/>
  <c r="J54" i="1"/>
  <c r="J123" i="1"/>
  <c r="J68" i="1"/>
  <c r="J101" i="1"/>
  <c r="E153" i="1"/>
  <c r="E155" i="1" s="1"/>
  <c r="F151" i="1"/>
  <c r="K54" i="1"/>
  <c r="K126" i="1"/>
  <c r="K127" i="1" s="1"/>
  <c r="K21" i="5"/>
  <c r="K41" i="5" s="1"/>
  <c r="K72" i="1"/>
  <c r="K135" i="1"/>
  <c r="K138" i="1" s="1"/>
  <c r="K104" i="1"/>
  <c r="K123" i="1" s="1"/>
  <c r="K60" i="1"/>
  <c r="K68" i="1" s="1"/>
  <c r="E6" i="10"/>
  <c r="I6" i="10" s="1"/>
  <c r="K86" i="1"/>
  <c r="C153" i="1"/>
  <c r="J129" i="1" l="1"/>
  <c r="G151" i="1"/>
  <c r="H151" i="1"/>
  <c r="H153" i="1" s="1"/>
  <c r="F153" i="1"/>
  <c r="K101" i="1"/>
  <c r="K129" i="1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J18" i="5" s="1"/>
  <c r="J43" i="5" s="1"/>
  <c r="J45" i="5" s="1"/>
  <c r="J103" i="3"/>
  <c r="K103" i="3" s="1"/>
  <c r="J102" i="3"/>
  <c r="K102" i="3" s="1"/>
  <c r="J101" i="3"/>
  <c r="K101" i="3" s="1"/>
  <c r="J100" i="3"/>
  <c r="K100" i="3" s="1"/>
  <c r="J99" i="3"/>
  <c r="K99" i="3" s="1"/>
  <c r="J98" i="3"/>
  <c r="K98" i="3" s="1"/>
  <c r="J97" i="3"/>
  <c r="K97" i="3" s="1"/>
  <c r="J90" i="3"/>
  <c r="K90" i="3" s="1"/>
  <c r="J89" i="3"/>
  <c r="K89" i="3" s="1"/>
  <c r="J88" i="3"/>
  <c r="K88" i="3" s="1"/>
  <c r="J87" i="3"/>
  <c r="K87" i="3" s="1"/>
  <c r="J78" i="3"/>
  <c r="K78" i="3" s="1"/>
  <c r="J77" i="3"/>
  <c r="K77" i="3" s="1"/>
  <c r="J76" i="3"/>
  <c r="K76" i="3" s="1"/>
  <c r="J75" i="3"/>
  <c r="K75" i="3" s="1"/>
  <c r="J74" i="3"/>
  <c r="K74" i="3" s="1"/>
  <c r="F155" i="1" l="1"/>
  <c r="F157" i="1"/>
  <c r="H155" i="1"/>
  <c r="H157" i="1"/>
  <c r="I151" i="1"/>
  <c r="G153" i="1"/>
  <c r="K7" i="5"/>
  <c r="K18" i="5" s="1"/>
  <c r="K43" i="5" s="1"/>
  <c r="K45" i="5" s="1"/>
  <c r="C115" i="7"/>
  <c r="C118" i="7" s="1"/>
  <c r="J101" i="7"/>
  <c r="K101" i="7" s="1"/>
  <c r="J100" i="7"/>
  <c r="K100" i="7" s="1"/>
  <c r="J99" i="7"/>
  <c r="K99" i="7" s="1"/>
  <c r="J98" i="7"/>
  <c r="K98" i="7" s="1"/>
  <c r="J97" i="7"/>
  <c r="K97" i="7" s="1"/>
  <c r="J96" i="7"/>
  <c r="K96" i="7" s="1"/>
  <c r="J95" i="7"/>
  <c r="K95" i="7" s="1"/>
  <c r="J94" i="7"/>
  <c r="K94" i="7" s="1"/>
  <c r="J93" i="7"/>
  <c r="K93" i="7" s="1"/>
  <c r="J92" i="7"/>
  <c r="K92" i="7" s="1"/>
  <c r="J91" i="7"/>
  <c r="K91" i="7" s="1"/>
  <c r="J90" i="7"/>
  <c r="K90" i="7" s="1"/>
  <c r="J89" i="7"/>
  <c r="H30" i="9"/>
  <c r="H28" i="10"/>
  <c r="C85" i="7"/>
  <c r="J103" i="7" l="1"/>
  <c r="G155" i="1"/>
  <c r="G157" i="1"/>
  <c r="J151" i="1"/>
  <c r="J153" i="1" s="1"/>
  <c r="I153" i="1"/>
  <c r="K89" i="7"/>
  <c r="K103" i="7" s="1"/>
  <c r="K151" i="1" l="1"/>
  <c r="K153" i="1" s="1"/>
  <c r="K157" i="1" s="1"/>
  <c r="I155" i="1"/>
  <c r="I157" i="1"/>
  <c r="J155" i="1"/>
  <c r="J157" i="1"/>
  <c r="J45" i="7"/>
  <c r="K45" i="7" s="1"/>
  <c r="J44" i="7"/>
  <c r="K44" i="7" s="1"/>
  <c r="J42" i="7"/>
  <c r="K42" i="7" s="1"/>
  <c r="J38" i="7"/>
  <c r="K38" i="7" s="1"/>
  <c r="J37" i="7"/>
  <c r="K37" i="7" s="1"/>
  <c r="J36" i="7"/>
  <c r="K36" i="7" s="1"/>
  <c r="J35" i="7"/>
  <c r="K35" i="7" s="1"/>
  <c r="J34" i="7"/>
  <c r="K34" i="7" s="1"/>
  <c r="J33" i="7"/>
  <c r="K33" i="7" s="1"/>
  <c r="J30" i="7"/>
  <c r="K30" i="7" s="1"/>
  <c r="J29" i="7"/>
  <c r="K29" i="7" s="1"/>
  <c r="J28" i="7"/>
  <c r="K28" i="7" s="1"/>
  <c r="J26" i="7"/>
  <c r="K26" i="7" s="1"/>
  <c r="J25" i="7"/>
  <c r="K25" i="7" s="1"/>
  <c r="J24" i="7"/>
  <c r="K24" i="7" s="1"/>
  <c r="J23" i="7"/>
  <c r="K23" i="7" s="1"/>
  <c r="J22" i="7"/>
  <c r="K22" i="7" s="1"/>
  <c r="J20" i="7"/>
  <c r="K20" i="7" s="1"/>
  <c r="J19" i="7"/>
  <c r="K19" i="7" s="1"/>
  <c r="J18" i="7"/>
  <c r="K18" i="7" s="1"/>
  <c r="J17" i="7"/>
  <c r="K17" i="7" s="1"/>
  <c r="J16" i="7"/>
  <c r="K155" i="1" l="1"/>
  <c r="K16" i="7"/>
  <c r="E42" i="2"/>
  <c r="J357" i="2"/>
  <c r="K357" i="2" s="1"/>
  <c r="J356" i="2"/>
  <c r="K356" i="2" s="1"/>
  <c r="J355" i="2"/>
  <c r="K355" i="2" s="1"/>
  <c r="J354" i="2"/>
  <c r="K354" i="2" s="1"/>
  <c r="J353" i="2"/>
  <c r="K353" i="2" s="1"/>
  <c r="J352" i="2"/>
  <c r="K352" i="2" s="1"/>
  <c r="J351" i="2"/>
  <c r="K351" i="2" s="1"/>
  <c r="J350" i="2"/>
  <c r="K350" i="2" s="1"/>
  <c r="J349" i="2"/>
  <c r="K349" i="2" s="1"/>
  <c r="J348" i="2"/>
  <c r="K348" i="2" s="1"/>
  <c r="J347" i="2"/>
  <c r="K347" i="2" s="1"/>
  <c r="J346" i="2"/>
  <c r="K346" i="2" s="1"/>
  <c r="J345" i="2"/>
  <c r="K345" i="2" s="1"/>
  <c r="J344" i="2"/>
  <c r="K344" i="2" s="1"/>
  <c r="J343" i="2"/>
  <c r="K343" i="2" s="1"/>
  <c r="J342" i="2"/>
  <c r="J338" i="2"/>
  <c r="K338" i="2" s="1"/>
  <c r="J337" i="2"/>
  <c r="K337" i="2" s="1"/>
  <c r="J336" i="2"/>
  <c r="K336" i="2" s="1"/>
  <c r="J334" i="2"/>
  <c r="K334" i="2" s="1"/>
  <c r="J316" i="2"/>
  <c r="K316" i="2" s="1"/>
  <c r="J315" i="2"/>
  <c r="K315" i="2" s="1"/>
  <c r="J314" i="2"/>
  <c r="K314" i="2" s="1"/>
  <c r="J313" i="2"/>
  <c r="K313" i="2" s="1"/>
  <c r="J312" i="2"/>
  <c r="K312" i="2" s="1"/>
  <c r="J311" i="2"/>
  <c r="J310" i="2"/>
  <c r="K310" i="2" s="1"/>
  <c r="J309" i="2"/>
  <c r="K309" i="2" s="1"/>
  <c r="J308" i="2"/>
  <c r="J339" i="2" s="1"/>
  <c r="J295" i="2"/>
  <c r="K295" i="2" s="1"/>
  <c r="J294" i="2"/>
  <c r="K294" i="2" s="1"/>
  <c r="J293" i="2"/>
  <c r="K293" i="2" s="1"/>
  <c r="J292" i="2"/>
  <c r="K292" i="2" s="1"/>
  <c r="J291" i="2"/>
  <c r="K291" i="2" s="1"/>
  <c r="J290" i="2"/>
  <c r="K290" i="2" s="1"/>
  <c r="J289" i="2"/>
  <c r="K289" i="2" s="1"/>
  <c r="J268" i="2"/>
  <c r="K268" i="2" s="1"/>
  <c r="J267" i="2"/>
  <c r="K267" i="2" s="1"/>
  <c r="J266" i="2"/>
  <c r="K266" i="2" s="1"/>
  <c r="J265" i="2"/>
  <c r="K265" i="2" s="1"/>
  <c r="J264" i="2"/>
  <c r="K264" i="2" s="1"/>
  <c r="J263" i="2"/>
  <c r="K263" i="2" s="1"/>
  <c r="J262" i="2"/>
  <c r="K262" i="2" s="1"/>
  <c r="J39" i="2"/>
  <c r="K39" i="2" s="1"/>
  <c r="J38" i="2"/>
  <c r="K38" i="2" s="1"/>
  <c r="J37" i="2"/>
  <c r="K37" i="2" s="1"/>
  <c r="J36" i="2"/>
  <c r="K36" i="2" s="1"/>
  <c r="J35" i="2"/>
  <c r="K35" i="2" s="1"/>
  <c r="J34" i="2"/>
  <c r="K34" i="2" s="1"/>
  <c r="J33" i="2"/>
  <c r="K33" i="2" s="1"/>
  <c r="J32" i="2"/>
  <c r="K32" i="2" s="1"/>
  <c r="J31" i="2"/>
  <c r="K31" i="2" s="1"/>
  <c r="J30" i="2"/>
  <c r="K30" i="2" s="1"/>
  <c r="J29" i="2"/>
  <c r="E298" i="2"/>
  <c r="J358" i="2" l="1"/>
  <c r="J360" i="2" s="1"/>
  <c r="K29" i="2"/>
  <c r="K40" i="2" s="1"/>
  <c r="J40" i="2"/>
  <c r="E362" i="2"/>
  <c r="E364" i="2" s="1"/>
  <c r="K308" i="2"/>
  <c r="K342" i="2"/>
  <c r="K358" i="2" s="1"/>
  <c r="C298" i="2"/>
  <c r="K311" i="2"/>
  <c r="K339" i="2" l="1"/>
  <c r="K360" i="2" s="1"/>
  <c r="C224" i="3"/>
  <c r="J197" i="3"/>
  <c r="K197" i="3" s="1"/>
  <c r="J198" i="3"/>
  <c r="K198" i="3" s="1"/>
  <c r="J199" i="3"/>
  <c r="K199" i="3" s="1"/>
  <c r="J227" i="3"/>
  <c r="K227" i="3" s="1"/>
  <c r="J225" i="3"/>
  <c r="K225" i="3" s="1"/>
  <c r="J223" i="3"/>
  <c r="K223" i="3" s="1"/>
  <c r="J222" i="3"/>
  <c r="K222" i="3" s="1"/>
  <c r="J221" i="3"/>
  <c r="K221" i="3" s="1"/>
  <c r="J220" i="3"/>
  <c r="K220" i="3" s="1"/>
  <c r="J219" i="3"/>
  <c r="K219" i="3" s="1"/>
  <c r="J218" i="3"/>
  <c r="K218" i="3" s="1"/>
  <c r="J217" i="3"/>
  <c r="K217" i="3" s="1"/>
  <c r="J216" i="3"/>
  <c r="K216" i="3" s="1"/>
  <c r="J215" i="3"/>
  <c r="K215" i="3" s="1"/>
  <c r="J214" i="3"/>
  <c r="K214" i="3" s="1"/>
  <c r="J213" i="3"/>
  <c r="K213" i="3" s="1"/>
  <c r="J212" i="3"/>
  <c r="K212" i="3" s="1"/>
  <c r="J211" i="3"/>
  <c r="K211" i="3" s="1"/>
  <c r="J210" i="3"/>
  <c r="K210" i="3" s="1"/>
  <c r="J209" i="3"/>
  <c r="K209" i="3" s="1"/>
  <c r="J208" i="3"/>
  <c r="J206" i="3"/>
  <c r="K206" i="3" s="1"/>
  <c r="J196" i="3"/>
  <c r="K196" i="3" s="1"/>
  <c r="J195" i="3"/>
  <c r="K195" i="3" s="1"/>
  <c r="J194" i="3"/>
  <c r="K194" i="3" s="1"/>
  <c r="J193" i="3"/>
  <c r="K193" i="3" s="1"/>
  <c r="J192" i="3"/>
  <c r="J191" i="3"/>
  <c r="K191" i="3" s="1"/>
  <c r="J190" i="3"/>
  <c r="K190" i="3" s="1"/>
  <c r="J189" i="3"/>
  <c r="K189" i="3" s="1"/>
  <c r="J157" i="3"/>
  <c r="K157" i="3" s="1"/>
  <c r="J154" i="3"/>
  <c r="K154" i="3" s="1"/>
  <c r="J153" i="3"/>
  <c r="K153" i="3" s="1"/>
  <c r="J152" i="3"/>
  <c r="K152" i="3" s="1"/>
  <c r="J151" i="3"/>
  <c r="K151" i="3" s="1"/>
  <c r="J150" i="3"/>
  <c r="K150" i="3" s="1"/>
  <c r="J149" i="3"/>
  <c r="K149" i="3" s="1"/>
  <c r="J148" i="3"/>
  <c r="K148" i="3" s="1"/>
  <c r="J147" i="3"/>
  <c r="K147" i="3" s="1"/>
  <c r="J146" i="3"/>
  <c r="K146" i="3" s="1"/>
  <c r="J145" i="3"/>
  <c r="K145" i="3" s="1"/>
  <c r="J144" i="3"/>
  <c r="K144" i="3" s="1"/>
  <c r="J143" i="3"/>
  <c r="K143" i="3" s="1"/>
  <c r="J141" i="3"/>
  <c r="K141" i="3" s="1"/>
  <c r="J140" i="3"/>
  <c r="J142" i="3" l="1"/>
  <c r="J156" i="3" s="1"/>
  <c r="J224" i="3"/>
  <c r="J204" i="3"/>
  <c r="K140" i="3"/>
  <c r="K142" i="3" s="1"/>
  <c r="K156" i="3" s="1"/>
  <c r="K208" i="3"/>
  <c r="K224" i="3" s="1"/>
  <c r="K192" i="3"/>
  <c r="K204" i="3" s="1"/>
  <c r="C226" i="3"/>
  <c r="C156" i="3"/>
  <c r="K226" i="3" l="1"/>
  <c r="J226" i="3"/>
  <c r="J124" i="3"/>
  <c r="K124" i="3" s="1"/>
  <c r="J123" i="3"/>
  <c r="K123" i="3" s="1"/>
  <c r="J122" i="3"/>
  <c r="K122" i="3" s="1"/>
  <c r="J121" i="3"/>
  <c r="K121" i="3" s="1"/>
  <c r="J120" i="3"/>
  <c r="K120" i="3" s="1"/>
  <c r="J119" i="3"/>
  <c r="K119" i="3" s="1"/>
  <c r="J118" i="3"/>
  <c r="K118" i="3" s="1"/>
  <c r="J117" i="3"/>
  <c r="K117" i="3" s="1"/>
  <c r="J112" i="3"/>
  <c r="K112" i="3" s="1"/>
  <c r="J111" i="3"/>
  <c r="K111" i="3" s="1"/>
  <c r="J110" i="3"/>
  <c r="K110" i="3" s="1"/>
  <c r="J109" i="3"/>
  <c r="K109" i="3" s="1"/>
  <c r="J108" i="3"/>
  <c r="K108" i="3" s="1"/>
  <c r="J107" i="3"/>
  <c r="K107" i="3" s="1"/>
  <c r="J106" i="3"/>
  <c r="K106" i="3" s="1"/>
  <c r="J105" i="3"/>
  <c r="K105" i="3" s="1"/>
  <c r="J104" i="3"/>
  <c r="K104" i="3" s="1"/>
  <c r="J95" i="3"/>
  <c r="K95" i="3" s="1"/>
  <c r="J94" i="3"/>
  <c r="K94" i="3" s="1"/>
  <c r="J93" i="3"/>
  <c r="K93" i="3" s="1"/>
  <c r="J92" i="3"/>
  <c r="K92" i="3" s="1"/>
  <c r="J91" i="3"/>
  <c r="K91" i="3" s="1"/>
  <c r="J85" i="3"/>
  <c r="K85" i="3" s="1"/>
  <c r="J84" i="3"/>
  <c r="K84" i="3" s="1"/>
  <c r="J83" i="3"/>
  <c r="K83" i="3" s="1"/>
  <c r="J81" i="3"/>
  <c r="K81" i="3" s="1"/>
  <c r="J80" i="3"/>
  <c r="K80" i="3" s="1"/>
  <c r="J79" i="3"/>
  <c r="K79" i="3" s="1"/>
  <c r="J72" i="3"/>
  <c r="K72" i="3" s="1"/>
  <c r="J71" i="3"/>
  <c r="K71" i="3" s="1"/>
  <c r="J70" i="3"/>
  <c r="K70" i="3" s="1"/>
  <c r="J69" i="3"/>
  <c r="K69" i="3" s="1"/>
  <c r="J68" i="3"/>
  <c r="K68" i="3" s="1"/>
  <c r="J67" i="3"/>
  <c r="K67" i="3" s="1"/>
  <c r="J66" i="3"/>
  <c r="K66" i="3" s="1"/>
  <c r="J65" i="3"/>
  <c r="K65" i="3" s="1"/>
  <c r="J64" i="3"/>
  <c r="K64" i="3" s="1"/>
  <c r="J63" i="3"/>
  <c r="K63" i="3" s="1"/>
  <c r="J62" i="3"/>
  <c r="K62" i="3" s="1"/>
  <c r="J61" i="3"/>
  <c r="K61" i="3" s="1"/>
  <c r="J59" i="3"/>
  <c r="K59" i="3" s="1"/>
  <c r="J58" i="3"/>
  <c r="K58" i="3" s="1"/>
  <c r="J57" i="3"/>
  <c r="K57" i="3" s="1"/>
  <c r="J56" i="3"/>
  <c r="K56" i="3" s="1"/>
  <c r="J55" i="3"/>
  <c r="K55" i="3" s="1"/>
  <c r="J54" i="3"/>
  <c r="K54" i="3" s="1"/>
  <c r="J53" i="3"/>
  <c r="K53" i="3" s="1"/>
  <c r="J52" i="3"/>
  <c r="K52" i="3" s="1"/>
  <c r="J51" i="3"/>
  <c r="K51" i="3" s="1"/>
  <c r="J50" i="3"/>
  <c r="K50" i="3" s="1"/>
  <c r="J49" i="3"/>
  <c r="K49" i="3" s="1"/>
  <c r="J48" i="3"/>
  <c r="K48" i="3" s="1"/>
  <c r="J47" i="3"/>
  <c r="K47" i="3" s="1"/>
  <c r="J46" i="3"/>
  <c r="K46" i="3" s="1"/>
  <c r="J45" i="3"/>
  <c r="K45" i="3" s="1"/>
  <c r="J44" i="3"/>
  <c r="K44" i="3" s="1"/>
  <c r="J43" i="3"/>
  <c r="K33" i="3"/>
  <c r="J32" i="3"/>
  <c r="K32" i="3" s="1"/>
  <c r="J31" i="3"/>
  <c r="K31" i="3" s="1"/>
  <c r="J30" i="3"/>
  <c r="K30" i="3" s="1"/>
  <c r="J29" i="3"/>
  <c r="K29" i="3" s="1"/>
  <c r="J28" i="3"/>
  <c r="K28" i="3" s="1"/>
  <c r="J27" i="3"/>
  <c r="K27" i="3" s="1"/>
  <c r="J26" i="3"/>
  <c r="K26" i="3" s="1"/>
  <c r="J25" i="3"/>
  <c r="J19" i="3"/>
  <c r="C113" i="3"/>
  <c r="C99" i="6"/>
  <c r="C22" i="3"/>
  <c r="C37" i="3" s="1"/>
  <c r="J40" i="3"/>
  <c r="K40" i="3" s="1"/>
  <c r="J38" i="3"/>
  <c r="K38" i="3" s="1"/>
  <c r="J36" i="3"/>
  <c r="K36" i="3" s="1"/>
  <c r="J34" i="3"/>
  <c r="K34" i="3" s="1"/>
  <c r="J24" i="3"/>
  <c r="K24" i="3" s="1"/>
  <c r="J23" i="3"/>
  <c r="K23" i="3" s="1"/>
  <c r="J21" i="3"/>
  <c r="J22" i="3" l="1"/>
  <c r="J35" i="3"/>
  <c r="K21" i="3"/>
  <c r="K25" i="3"/>
  <c r="K35" i="3" s="1"/>
  <c r="K43" i="3"/>
  <c r="K113" i="3" s="1"/>
  <c r="K19" i="3"/>
  <c r="K22" i="3" s="1"/>
  <c r="K37" i="3" l="1"/>
  <c r="J37" i="3"/>
  <c r="J15" i="7"/>
  <c r="J46" i="7" s="1"/>
  <c r="J77" i="7" s="1"/>
  <c r="J114" i="7"/>
  <c r="K114" i="7" s="1"/>
  <c r="J113" i="7"/>
  <c r="K113" i="7" s="1"/>
  <c r="J112" i="7"/>
  <c r="K112" i="7" s="1"/>
  <c r="J111" i="7"/>
  <c r="K111" i="7" s="1"/>
  <c r="J110" i="7"/>
  <c r="K110" i="7" s="1"/>
  <c r="J109" i="7"/>
  <c r="K109" i="7" s="1"/>
  <c r="J108" i="7"/>
  <c r="K108" i="7" s="1"/>
  <c r="J107" i="7"/>
  <c r="K107" i="7" s="1"/>
  <c r="J106" i="7"/>
  <c r="C111" i="6"/>
  <c r="C113" i="6" s="1"/>
  <c r="J112" i="6"/>
  <c r="K112" i="6" s="1"/>
  <c r="J110" i="6"/>
  <c r="K110" i="6" s="1"/>
  <c r="J109" i="6"/>
  <c r="K109" i="6" s="1"/>
  <c r="J108" i="6"/>
  <c r="K108" i="6" s="1"/>
  <c r="J107" i="6"/>
  <c r="K107" i="6" s="1"/>
  <c r="J106" i="6"/>
  <c r="K106" i="6" s="1"/>
  <c r="J105" i="6"/>
  <c r="K105" i="6" s="1"/>
  <c r="J104" i="6"/>
  <c r="K104" i="6" s="1"/>
  <c r="J103" i="6"/>
  <c r="K103" i="6" s="1"/>
  <c r="J102" i="6"/>
  <c r="J101" i="6"/>
  <c r="K101" i="6" s="1"/>
  <c r="J98" i="6"/>
  <c r="K98" i="6" s="1"/>
  <c r="J97" i="6"/>
  <c r="K97" i="6" s="1"/>
  <c r="K96" i="6"/>
  <c r="J95" i="6"/>
  <c r="K95" i="6" s="1"/>
  <c r="J94" i="6"/>
  <c r="K94" i="6" s="1"/>
  <c r="J93" i="6"/>
  <c r="K93" i="6" s="1"/>
  <c r="J92" i="6"/>
  <c r="K92" i="6" s="1"/>
  <c r="J91" i="6"/>
  <c r="K91" i="6" s="1"/>
  <c r="J90" i="6"/>
  <c r="K90" i="6" s="1"/>
  <c r="J89" i="6"/>
  <c r="K89" i="6" s="1"/>
  <c r="J88" i="6"/>
  <c r="J99" i="6" l="1"/>
  <c r="K102" i="6"/>
  <c r="K111" i="6" s="1"/>
  <c r="J111" i="6"/>
  <c r="J113" i="6" s="1"/>
  <c r="E22" i="10"/>
  <c r="K88" i="6"/>
  <c r="K99" i="6" s="1"/>
  <c r="J115" i="7"/>
  <c r="J118" i="7" s="1"/>
  <c r="K106" i="7"/>
  <c r="K115" i="7" s="1"/>
  <c r="K118" i="7" s="1"/>
  <c r="K15" i="7"/>
  <c r="K46" i="7" s="1"/>
  <c r="K77" i="7" s="1"/>
  <c r="H23" i="9"/>
  <c r="K113" i="6" l="1"/>
  <c r="K121" i="7"/>
  <c r="K120" i="7"/>
  <c r="J121" i="7"/>
  <c r="J120" i="7"/>
  <c r="H18" i="9"/>
  <c r="H22" i="10"/>
  <c r="C62" i="6"/>
  <c r="J29" i="6"/>
  <c r="K29" i="6" s="1"/>
  <c r="J59" i="6"/>
  <c r="K59" i="6" s="1"/>
  <c r="J58" i="6"/>
  <c r="K58" i="6" s="1"/>
  <c r="J57" i="6"/>
  <c r="K57" i="6" s="1"/>
  <c r="J56" i="6"/>
  <c r="K56" i="6" s="1"/>
  <c r="J55" i="6"/>
  <c r="K55" i="6" s="1"/>
  <c r="J54" i="6"/>
  <c r="K54" i="6" s="1"/>
  <c r="J53" i="6"/>
  <c r="K53" i="6" s="1"/>
  <c r="J52" i="6"/>
  <c r="K52" i="6" s="1"/>
  <c r="J51" i="6"/>
  <c r="K51" i="6" s="1"/>
  <c r="J49" i="6"/>
  <c r="K49" i="6" s="1"/>
  <c r="J48" i="6"/>
  <c r="K48" i="6" s="1"/>
  <c r="J47" i="6"/>
  <c r="K47" i="6" s="1"/>
  <c r="J46" i="6"/>
  <c r="K46" i="6" s="1"/>
  <c r="J45" i="6"/>
  <c r="K45" i="6" s="1"/>
  <c r="J44" i="6"/>
  <c r="K44" i="6" s="1"/>
  <c r="J38" i="6"/>
  <c r="K38" i="6" s="1"/>
  <c r="J36" i="6"/>
  <c r="K36" i="6" s="1"/>
  <c r="J34" i="6"/>
  <c r="K34" i="6" s="1"/>
  <c r="J33" i="6"/>
  <c r="K33" i="6" s="1"/>
  <c r="J32" i="6"/>
  <c r="K32" i="6" s="1"/>
  <c r="J31" i="6"/>
  <c r="K31" i="6" s="1"/>
  <c r="J28" i="6"/>
  <c r="K28" i="6" s="1"/>
  <c r="J27" i="6"/>
  <c r="K27" i="6" s="1"/>
  <c r="J26" i="6"/>
  <c r="K26" i="6" s="1"/>
  <c r="J25" i="6"/>
  <c r="K25" i="6" s="1"/>
  <c r="J24" i="6"/>
  <c r="K24" i="6" s="1"/>
  <c r="J23" i="6"/>
  <c r="K23" i="6" s="1"/>
  <c r="J21" i="6"/>
  <c r="K21" i="6" s="1"/>
  <c r="J20" i="6"/>
  <c r="K20" i="6" s="1"/>
  <c r="J19" i="6"/>
  <c r="K19" i="6" s="1"/>
  <c r="J18" i="6"/>
  <c r="K18" i="6" s="1"/>
  <c r="J17" i="6"/>
  <c r="K17" i="6" s="1"/>
  <c r="J16" i="6"/>
  <c r="K16" i="6" s="1"/>
  <c r="J15" i="6"/>
  <c r="K15" i="6" s="1"/>
  <c r="J14" i="6"/>
  <c r="K14" i="6" s="1"/>
  <c r="J13" i="6"/>
  <c r="K13" i="6" s="1"/>
  <c r="J12" i="6"/>
  <c r="K12" i="6" s="1"/>
  <c r="J11" i="6"/>
  <c r="K11" i="6" s="1"/>
  <c r="J10" i="6"/>
  <c r="K10" i="6" s="1"/>
  <c r="J9" i="6"/>
  <c r="K9" i="6" s="1"/>
  <c r="J8" i="6"/>
  <c r="J62" i="6" l="1"/>
  <c r="E83" i="6"/>
  <c r="K8" i="6"/>
  <c r="K62" i="6" s="1"/>
  <c r="J261" i="2"/>
  <c r="J282" i="2" s="1"/>
  <c r="J298" i="2" s="1"/>
  <c r="J43" i="2"/>
  <c r="K43" i="2" s="1"/>
  <c r="J28" i="2"/>
  <c r="K28" i="2" s="1"/>
  <c r="J27" i="2"/>
  <c r="K27" i="2" s="1"/>
  <c r="J25" i="2"/>
  <c r="K25" i="2" s="1"/>
  <c r="J24" i="2"/>
  <c r="K24" i="2" s="1"/>
  <c r="J22" i="2"/>
  <c r="K22" i="2" s="1"/>
  <c r="J21" i="2"/>
  <c r="K21" i="2" s="1"/>
  <c r="J18" i="2"/>
  <c r="K18" i="2" s="1"/>
  <c r="J17" i="2"/>
  <c r="K17" i="2" s="1"/>
  <c r="J16" i="2"/>
  <c r="K16" i="2" s="1"/>
  <c r="J15" i="2"/>
  <c r="K15" i="2" s="1"/>
  <c r="J14" i="2"/>
  <c r="J23" i="2"/>
  <c r="K23" i="2" s="1"/>
  <c r="J26" i="2" l="1"/>
  <c r="J42" i="2" s="1"/>
  <c r="J362" i="2" s="1"/>
  <c r="J364" i="2" s="1"/>
  <c r="F23" i="9"/>
  <c r="E115" i="6"/>
  <c r="K14" i="2"/>
  <c r="K26" i="2" s="1"/>
  <c r="K42" i="2" s="1"/>
  <c r="K261" i="2"/>
  <c r="K282" i="2" s="1"/>
  <c r="K298" i="2" s="1"/>
  <c r="C26" i="2"/>
  <c r="K362" i="2" l="1"/>
  <c r="K364" i="2" s="1"/>
  <c r="F22" i="10"/>
  <c r="C42" i="2"/>
  <c r="C23" i="9"/>
  <c r="C101" i="1"/>
  <c r="C9" i="7"/>
  <c r="C22" i="10" l="1"/>
  <c r="I25" i="9" l="1"/>
  <c r="G13" i="8"/>
  <c r="F15" i="9"/>
  <c r="F13" i="10"/>
  <c r="H13" i="8"/>
  <c r="E13" i="8"/>
  <c r="D13" i="8"/>
  <c r="H13" i="10"/>
  <c r="D13" i="10"/>
  <c r="G13" i="10"/>
  <c r="G15" i="9"/>
  <c r="D15" i="9"/>
  <c r="C15" i="9"/>
  <c r="C13" i="10"/>
  <c r="B9" i="12"/>
  <c r="B10" i="12" s="1"/>
  <c r="B12" i="12" s="1"/>
  <c r="B19" i="8"/>
  <c r="B8" i="8"/>
  <c r="B9" i="8"/>
  <c r="B16" i="8"/>
  <c r="B5" i="8"/>
  <c r="B18" i="8"/>
  <c r="I30" i="9"/>
  <c r="I28" i="10"/>
  <c r="I23" i="10"/>
  <c r="I20" i="10"/>
  <c r="I19" i="10"/>
  <c r="I22" i="9"/>
  <c r="I21" i="9"/>
  <c r="H15" i="9"/>
  <c r="I14" i="9"/>
  <c r="I10" i="9"/>
  <c r="J21" i="8"/>
  <c r="B7" i="8"/>
  <c r="B10" i="8"/>
  <c r="B11" i="8"/>
  <c r="B11" i="10" l="1"/>
  <c r="B12" i="9"/>
  <c r="J78" i="6"/>
  <c r="B12" i="8"/>
  <c r="B13" i="8" s="1"/>
  <c r="E127" i="3" l="1"/>
  <c r="E228" i="3" s="1"/>
  <c r="E230" i="3" s="1"/>
  <c r="C127" i="3"/>
  <c r="C228" i="3" s="1"/>
  <c r="D18" i="9"/>
  <c r="D16" i="10"/>
  <c r="E11" i="10"/>
  <c r="E12" i="9"/>
  <c r="J69" i="6"/>
  <c r="K69" i="6" s="1"/>
  <c r="J73" i="6"/>
  <c r="K73" i="6" s="1"/>
  <c r="J70" i="6"/>
  <c r="K70" i="6" s="1"/>
  <c r="J76" i="6"/>
  <c r="K76" i="6" s="1"/>
  <c r="J66" i="6"/>
  <c r="K66" i="6" s="1"/>
  <c r="J65" i="6"/>
  <c r="C81" i="6"/>
  <c r="J68" i="6"/>
  <c r="K68" i="6" s="1"/>
  <c r="J74" i="6"/>
  <c r="K74" i="6" s="1"/>
  <c r="J79" i="6"/>
  <c r="K79" i="6" s="1"/>
  <c r="J67" i="6"/>
  <c r="K67" i="6" s="1"/>
  <c r="J80" i="6"/>
  <c r="K80" i="6" s="1"/>
  <c r="J71" i="6"/>
  <c r="K71" i="6" s="1"/>
  <c r="J77" i="6"/>
  <c r="K77" i="6" s="1"/>
  <c r="J75" i="6"/>
  <c r="K75" i="6" s="1"/>
  <c r="J72" i="6"/>
  <c r="K72" i="6" s="1"/>
  <c r="K78" i="6"/>
  <c r="C358" i="2"/>
  <c r="C11" i="7"/>
  <c r="C121" i="7" s="1"/>
  <c r="J26" i="8"/>
  <c r="I13" i="8"/>
  <c r="C18" i="5"/>
  <c r="C67" i="4"/>
  <c r="C71" i="4"/>
  <c r="J116" i="3"/>
  <c r="J125" i="3" s="1"/>
  <c r="J42" i="3"/>
  <c r="J113" i="3" s="1"/>
  <c r="C11" i="3"/>
  <c r="C13" i="3" s="1"/>
  <c r="F13" i="8" s="1"/>
  <c r="J8" i="8"/>
  <c r="C127" i="1"/>
  <c r="C123" i="1"/>
  <c r="C14" i="1"/>
  <c r="J10" i="8" s="1"/>
  <c r="C68" i="1"/>
  <c r="C47" i="1"/>
  <c r="J5" i="8" s="1"/>
  <c r="J9" i="8"/>
  <c r="C10" i="1"/>
  <c r="C33" i="1"/>
  <c r="C25" i="1"/>
  <c r="J7" i="8" s="1"/>
  <c r="C20" i="1"/>
  <c r="C52" i="1"/>
  <c r="J127" i="3" l="1"/>
  <c r="J228" i="3" s="1"/>
  <c r="J230" i="3" s="1"/>
  <c r="J81" i="6"/>
  <c r="J83" i="6" s="1"/>
  <c r="J115" i="6" s="1"/>
  <c r="J11" i="8"/>
  <c r="E54" i="1"/>
  <c r="E157" i="1" s="1"/>
  <c r="E23" i="9"/>
  <c r="C120" i="7"/>
  <c r="C230" i="3"/>
  <c r="C360" i="2"/>
  <c r="C362" i="2" s="1"/>
  <c r="C364" i="2" s="1"/>
  <c r="C54" i="1"/>
  <c r="C129" i="1"/>
  <c r="C155" i="1" s="1"/>
  <c r="D22" i="8"/>
  <c r="D24" i="8" s="1"/>
  <c r="D28" i="8" s="1"/>
  <c r="C83" i="6"/>
  <c r="C115" i="6" s="1"/>
  <c r="K116" i="3"/>
  <c r="K125" i="3" s="1"/>
  <c r="K127" i="3" s="1"/>
  <c r="K228" i="3" s="1"/>
  <c r="K230" i="3" s="1"/>
  <c r="B7" i="9"/>
  <c r="J18" i="8"/>
  <c r="E15" i="9"/>
  <c r="I12" i="9"/>
  <c r="E13" i="10"/>
  <c r="I11" i="10"/>
  <c r="K65" i="6"/>
  <c r="K81" i="6" s="1"/>
  <c r="K83" i="6" s="1"/>
  <c r="K115" i="6" s="1"/>
  <c r="C41" i="5"/>
  <c r="F22" i="8"/>
  <c r="F24" i="8" s="1"/>
  <c r="F28" i="8" s="1"/>
  <c r="B8" i="10"/>
  <c r="I8" i="10" s="1"/>
  <c r="B8" i="9"/>
  <c r="I8" i="9" s="1"/>
  <c r="B10" i="10"/>
  <c r="I10" i="10" s="1"/>
  <c r="B11" i="9"/>
  <c r="I11" i="9" s="1"/>
  <c r="B18" i="9"/>
  <c r="B16" i="10"/>
  <c r="B20" i="9"/>
  <c r="I20" i="9" s="1"/>
  <c r="B18" i="10"/>
  <c r="I18" i="10" s="1"/>
  <c r="B23" i="9"/>
  <c r="B22" i="10"/>
  <c r="J12" i="8"/>
  <c r="B9" i="9"/>
  <c r="I9" i="9" s="1"/>
  <c r="G22" i="10" l="1"/>
  <c r="E18" i="9"/>
  <c r="E26" i="9" s="1"/>
  <c r="H16" i="10"/>
  <c r="H24" i="10" s="1"/>
  <c r="H26" i="10" s="1"/>
  <c r="J20" i="8"/>
  <c r="D21" i="10"/>
  <c r="D24" i="9"/>
  <c r="C157" i="1"/>
  <c r="B24" i="9"/>
  <c r="B21" i="10"/>
  <c r="C18" i="9"/>
  <c r="C26" i="9" s="1"/>
  <c r="C28" i="9" s="1"/>
  <c r="C32" i="9" s="1"/>
  <c r="C16" i="10"/>
  <c r="C24" i="10" s="1"/>
  <c r="C26" i="10" s="1"/>
  <c r="C30" i="10" s="1"/>
  <c r="J17" i="8"/>
  <c r="C43" i="5"/>
  <c r="C45" i="5" s="1"/>
  <c r="C22" i="8"/>
  <c r="F18" i="9"/>
  <c r="F16" i="10"/>
  <c r="B7" i="10"/>
  <c r="I7" i="10" s="1"/>
  <c r="B13" i="9"/>
  <c r="I13" i="9" s="1"/>
  <c r="H26" i="9"/>
  <c r="H28" i="9" s="1"/>
  <c r="H32" i="9" s="1"/>
  <c r="G17" i="10"/>
  <c r="G23" i="9"/>
  <c r="J16" i="8"/>
  <c r="B12" i="10"/>
  <c r="I12" i="10" s="1"/>
  <c r="I7" i="9"/>
  <c r="B9" i="10"/>
  <c r="I9" i="10" s="1"/>
  <c r="J13" i="8"/>
  <c r="C13" i="8"/>
  <c r="I22" i="8"/>
  <c r="I24" i="8" s="1"/>
  <c r="I28" i="8" s="1"/>
  <c r="E16" i="10" l="1"/>
  <c r="I16" i="10" s="1"/>
  <c r="I24" i="9"/>
  <c r="C45" i="4"/>
  <c r="E45" i="4" s="1"/>
  <c r="I21" i="10"/>
  <c r="I18" i="9"/>
  <c r="H22" i="8"/>
  <c r="H24" i="8" s="1"/>
  <c r="H28" i="8" s="1"/>
  <c r="I17" i="10"/>
  <c r="G19" i="9"/>
  <c r="I19" i="9" s="1"/>
  <c r="E28" i="9"/>
  <c r="E32" i="9" s="1"/>
  <c r="C24" i="8"/>
  <c r="C28" i="8" s="1"/>
  <c r="B5" i="10"/>
  <c r="I5" i="10" s="1"/>
  <c r="I13" i="10" s="1"/>
  <c r="B5" i="9"/>
  <c r="I5" i="9" s="1"/>
  <c r="I15" i="9" s="1"/>
  <c r="H30" i="10"/>
  <c r="B26" i="9"/>
  <c r="B24" i="10"/>
  <c r="E48" i="4" l="1"/>
  <c r="E73" i="4" s="1"/>
  <c r="G45" i="4"/>
  <c r="K18" i="9"/>
  <c r="J45" i="4"/>
  <c r="J48" i="4" s="1"/>
  <c r="J73" i="4" s="1"/>
  <c r="J192" i="4" s="1"/>
  <c r="J194" i="4" s="1"/>
  <c r="C48" i="4"/>
  <c r="G26" i="9"/>
  <c r="G28" i="9" s="1"/>
  <c r="G32" i="9" s="1"/>
  <c r="G24" i="10"/>
  <c r="G26" i="10" s="1"/>
  <c r="G30" i="10" s="1"/>
  <c r="B13" i="10"/>
  <c r="B26" i="10" s="1"/>
  <c r="B30" i="10" s="1"/>
  <c r="B15" i="9"/>
  <c r="B28" i="9" s="1"/>
  <c r="B32" i="9" s="1"/>
  <c r="E24" i="10"/>
  <c r="E26" i="10" s="1"/>
  <c r="E30" i="10" s="1"/>
  <c r="G48" i="4" l="1"/>
  <c r="G73" i="4" s="1"/>
  <c r="G192" i="4" s="1"/>
  <c r="G194" i="4" s="1"/>
  <c r="I45" i="4"/>
  <c r="N45" i="4" s="1"/>
  <c r="E192" i="4"/>
  <c r="E194" i="4" s="1"/>
  <c r="C73" i="4"/>
  <c r="C192" i="4" s="1"/>
  <c r="C194" i="4" s="1"/>
  <c r="K45" i="4"/>
  <c r="K48" i="4" s="1"/>
  <c r="K73" i="4" s="1"/>
  <c r="K192" i="4" s="1"/>
  <c r="K194" i="4" s="1"/>
  <c r="G22" i="8"/>
  <c r="G24" i="8" s="1"/>
  <c r="G28" i="8" s="1"/>
  <c r="I48" i="4" l="1"/>
  <c r="N48" i="4"/>
  <c r="N73" i="4" s="1"/>
  <c r="N192" i="4" s="1"/>
  <c r="N194" i="4" s="1"/>
  <c r="D23" i="9"/>
  <c r="D26" i="9" s="1"/>
  <c r="D28" i="9" s="1"/>
  <c r="D32" i="9" s="1"/>
  <c r="I73" i="4" l="1"/>
  <c r="I192" i="4" s="1"/>
  <c r="I194" i="4" s="1"/>
  <c r="E19" i="8"/>
  <c r="E22" i="8" s="1"/>
  <c r="E24" i="8" s="1"/>
  <c r="E28" i="8" s="1"/>
  <c r="D22" i="10"/>
  <c r="D24" i="10" s="1"/>
  <c r="D26" i="10" s="1"/>
  <c r="D30" i="10" s="1"/>
  <c r="I23" i="9"/>
  <c r="I26" i="9" s="1"/>
  <c r="F26" i="9"/>
  <c r="F28" i="9" s="1"/>
  <c r="F32" i="9" s="1"/>
  <c r="F24" i="10"/>
  <c r="J19" i="8" l="1"/>
  <c r="J22" i="8" s="1"/>
  <c r="J24" i="8" s="1"/>
  <c r="I22" i="10"/>
  <c r="I24" i="10" s="1"/>
  <c r="I26" i="10" s="1"/>
  <c r="I30" i="10" s="1"/>
  <c r="I28" i="9"/>
  <c r="I32" i="9" s="1"/>
  <c r="K19" i="9"/>
  <c r="F26" i="10"/>
  <c r="F30" i="10" s="1"/>
  <c r="B1" i="6" l="1"/>
  <c r="J32" i="8"/>
  <c r="B1" i="7"/>
  <c r="B1" i="5"/>
  <c r="B1" i="1"/>
  <c r="E165" i="1" s="1"/>
  <c r="B1" i="4"/>
  <c r="B1" i="3"/>
  <c r="B1" i="2"/>
  <c r="C1" i="5"/>
  <c r="C1" i="6"/>
  <c r="C1" i="2"/>
  <c r="C1" i="3"/>
  <c r="C1" i="7"/>
  <c r="C1" i="4"/>
  <c r="J28" i="8"/>
  <c r="C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Sbonelo Ngidi</author>
  </authors>
  <commentList>
    <comment ref="B31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Sbonelo Ngidi:</t>
        </r>
        <r>
          <rPr>
            <sz val="9"/>
            <color indexed="81"/>
            <rFont val="Tahoma"/>
            <family val="2"/>
          </rPr>
          <t xml:space="preserve">
To do a journal to Ward Committee acc vote and create S &amp; T Travelling Claims, Accommodation, Catering and Daily Allowance
</t>
        </r>
      </text>
    </comment>
  </commentList>
</comments>
</file>

<file path=xl/sharedStrings.xml><?xml version="1.0" encoding="utf-8"?>
<sst xmlns="http://schemas.openxmlformats.org/spreadsheetml/2006/main" count="1819" uniqueCount="1371">
  <si>
    <t>ACCOUNT NUMBER</t>
  </si>
  <si>
    <t>ACCOUNT DESCRIPTION</t>
  </si>
  <si>
    <t>2018/2019 ORIGINAL BUDGET</t>
  </si>
  <si>
    <t>YTD EXPENDITURE</t>
  </si>
  <si>
    <t>ADJUSTMENTS</t>
  </si>
  <si>
    <t>2018/2019 ADJUSTED BUDGET</t>
  </si>
  <si>
    <t>2019/2020 OUTER YEAR ONE</t>
  </si>
  <si>
    <t>2020/2021 OUTER YEAR TWO</t>
  </si>
  <si>
    <t>Interest on Outstanding Debtors</t>
  </si>
  <si>
    <t>D0001/IR01410/F0044/X049/R0106/001/FIN</t>
  </si>
  <si>
    <t>Business Licensing</t>
  </si>
  <si>
    <t>D0001/IR01221/F0045/X049/R0106/001/FIN</t>
  </si>
  <si>
    <t>HALL HIRE</t>
  </si>
  <si>
    <t>Rental Income</t>
  </si>
  <si>
    <t>Property Rates:Communal Land:Business and Commercial</t>
  </si>
  <si>
    <t>Property Rates (Communal Land:Other)</t>
  </si>
  <si>
    <t>Property Rates (Farm Properties:Agricultural Purposes)</t>
  </si>
  <si>
    <t>Property Rates (Farm Properties:Residential Properties)</t>
  </si>
  <si>
    <t>D0001/IR01481/F0001/X049/R0106/001/FIN</t>
  </si>
  <si>
    <t>Property Rates (Agricultural Property)</t>
  </si>
  <si>
    <t>Property Rates (Industrial Properties)</t>
  </si>
  <si>
    <t>Property Rates (Municipal Properties)</t>
  </si>
  <si>
    <t>D0001/IR01494/F0001/X049/R0106/001/FIN</t>
  </si>
  <si>
    <t>Property Rates (Special Rating Area)</t>
  </si>
  <si>
    <t>Property Rates (State-owned Properties)</t>
  </si>
  <si>
    <t>National Revenue Fund (Equitable Share)</t>
  </si>
  <si>
    <t>O0001/IE00672/F0041/X049/R0105/001/FIN</t>
  </si>
  <si>
    <t>Professional Fees (Professional Fees)</t>
  </si>
  <si>
    <t>O0001/IE00835/F0041/X049/R0105/001/FIN</t>
  </si>
  <si>
    <t>Computer Software, Programs and Licences (Consultant fee - Support)</t>
  </si>
  <si>
    <t>Property Rates (Valuation Roll)</t>
  </si>
  <si>
    <t>O0022-1/IE00847/F0041/X049/R0106/001/FIN</t>
  </si>
  <si>
    <t>Professional Fees (Review of Revenue enhancement strategy)</t>
  </si>
  <si>
    <t>Training and Seminars (Minimum Competency)</t>
  </si>
  <si>
    <t>Depreciation, Amortisation &amp; Impairment (Computer)</t>
  </si>
  <si>
    <t>Depreciation, Amortisation &amp; Impairment (Furniture)</t>
  </si>
  <si>
    <t>Depreciation, Amortisation &amp; Impairment (Machinery)</t>
  </si>
  <si>
    <t>Depreciation,Amortisation &amp; Impairment (Transport)</t>
  </si>
  <si>
    <t>Depreciation, Amortization &amp; Impairment (Road)</t>
  </si>
  <si>
    <t>Depreciation, Amortization &amp; Impairment (Community Assets)</t>
  </si>
  <si>
    <t>Depreciation, Amortisation &amp; Impairment (Other Assets)</t>
  </si>
  <si>
    <t>Computer Software, Programs and Licences (Accommodation, travel - millage, flights)</t>
  </si>
  <si>
    <t>Conferences/Training (Registration Fees:Seminars, Conferences, Workshops and Events:National)</t>
  </si>
  <si>
    <t>O0001/IE00060/F0041/X049/R0106/001/FIN</t>
  </si>
  <si>
    <t>Subsistence,Travelling &amp; Accommodation (Travel and Subsistence:Domestic:Accommodation)</t>
  </si>
  <si>
    <t>Subsistence and Travelling Allowance (Daily Allowance)</t>
  </si>
  <si>
    <t>Subsistence and Travelling Allowance (Own Transport)</t>
  </si>
  <si>
    <t>O0001/IE00567/F0041/X049/R0106/001/FIN</t>
  </si>
  <si>
    <t>External Audit fees (Audit Fees - AG)</t>
  </si>
  <si>
    <t>Membership Fees (IMFO)</t>
  </si>
  <si>
    <t>Skills Development Levies (Skills Development Levies)</t>
  </si>
  <si>
    <t>Skills Development Fund (Interns)</t>
  </si>
  <si>
    <t>O0001/IE00759/F0041/X049/R0106/001/FIN</t>
  </si>
  <si>
    <t>Bank Charges (Bank charges)</t>
  </si>
  <si>
    <t>Computer Software, Programs and Licences (Caseware, Asset Management System, Promis Support, Payday and Sage evolution)</t>
  </si>
  <si>
    <t>O0001/IE00804/F0041/X049/R0106/001/FIN</t>
  </si>
  <si>
    <t>Insurance	(Insurance)</t>
  </si>
  <si>
    <t>Employee Related Cost (Salaries and Allowances)</t>
  </si>
  <si>
    <t>Employee Related Cost (Bonus)</t>
  </si>
  <si>
    <t>Employee Related Cost (Bargaining Council)</t>
  </si>
  <si>
    <t>Employee Related Cost (Medical Aid)</t>
  </si>
  <si>
    <t>Employee Related Cost (UIF)</t>
  </si>
  <si>
    <t>Employee Related Cost (Housing Subsidy)</t>
  </si>
  <si>
    <t>Employee related cost (Leave Pay)</t>
  </si>
  <si>
    <t>Employee Related Cost (Overtime)</t>
  </si>
  <si>
    <t>O0001/IE01321/F0041/X049/R0106/001/FIN</t>
  </si>
  <si>
    <t>Conditional Grants (Conditional Grants)</t>
  </si>
  <si>
    <t xml:space="preserve">Interest, Dividend and Rent on Land </t>
  </si>
  <si>
    <t>Total</t>
  </si>
  <si>
    <t xml:space="preserve">Licences or Permits </t>
  </si>
  <si>
    <t xml:space="preserve">Operational Revenue </t>
  </si>
  <si>
    <t xml:space="preserve">Rental from Fixed Assets </t>
  </si>
  <si>
    <t xml:space="preserve">Sales of Goods and Rendering of Services </t>
  </si>
  <si>
    <t xml:space="preserve">Property Rates </t>
  </si>
  <si>
    <t>Transfers and Subsidies</t>
  </si>
  <si>
    <t>REVENUE</t>
  </si>
  <si>
    <t>EXPENDITURE</t>
  </si>
  <si>
    <t>Depreciation and Amortisation</t>
  </si>
  <si>
    <t xml:space="preserve">Operational Cost </t>
  </si>
  <si>
    <t xml:space="preserve">Employee Related Cost </t>
  </si>
  <si>
    <t>TOTAL</t>
  </si>
  <si>
    <t>TOTAL REVENUE</t>
  </si>
  <si>
    <t>TOTAL EXPENDITURE</t>
  </si>
  <si>
    <t xml:space="preserve">Transfers and Subsidies </t>
  </si>
  <si>
    <t>IDP Programme (Sound system)</t>
  </si>
  <si>
    <t>IDP Programme (Catering)</t>
  </si>
  <si>
    <t>IDP Programme (Transport)</t>
  </si>
  <si>
    <t>O1358-3/IE00628/F0041/X045/R0106/001/MMO</t>
  </si>
  <si>
    <t>Ward Committes (Sound System)</t>
  </si>
  <si>
    <t>O1358-3/IE00677/F0041/X045/R0106/001/MMO</t>
  </si>
  <si>
    <t>Ward Committes (Catering )</t>
  </si>
  <si>
    <t>O1358-3/IE00703/F0041/X045/R0106/001/MMO</t>
  </si>
  <si>
    <t>Ward Committes (Transportation)</t>
  </si>
  <si>
    <t>O1358-3/IE00840/F0041/X045/R0106/001/MMO</t>
  </si>
  <si>
    <t>Ward Committes (Service Provider - Contracted Services( Training)</t>
  </si>
  <si>
    <t>O0001/IE00060/F0041/X045/R0105/001/MMO</t>
  </si>
  <si>
    <t>Subsistence,Travelling &amp; Accomodation (Strategic Session)  (Accommodation)</t>
  </si>
  <si>
    <t>O0001/IE00061/F0041/X045/R0105/001/MMO</t>
  </si>
  <si>
    <t>O0001/IE00062/F0041/X045/R0106/001/MMO</t>
  </si>
  <si>
    <t>Subsistence,Travelling &amp; Accommodation (Food and Beverage (Served)</t>
  </si>
  <si>
    <t>O0001/IE00063/F0041/X045/R0105/001/MMO</t>
  </si>
  <si>
    <t>Subsistence,Travelling &amp; Accomodation (Incidental costs)</t>
  </si>
  <si>
    <t>O0001/IE00143/F0041/X045/R0105/001/MMO</t>
  </si>
  <si>
    <t>Subsistence,Travelling &amp; Accomodation (Car hire- without operator)</t>
  </si>
  <si>
    <t>O0001/IE00144/F0041/X045/R0105/001/MMO</t>
  </si>
  <si>
    <t>O0001/IE00586/F0041/X045/R0105/001/MMO</t>
  </si>
  <si>
    <t>Ward Committes (Payment of Ward Committes)</t>
  </si>
  <si>
    <t>O0001/IE00595/F0041/X045/R0105/001/MMO</t>
  </si>
  <si>
    <t>Skills Development Fund</t>
  </si>
  <si>
    <t>O0001/IE01581/F0041/X045/R0105/001/MMO</t>
  </si>
  <si>
    <t>Subsistence,Travelling &amp; Accomodation (Flights)</t>
  </si>
  <si>
    <t>O0001/IE01583/F0041/X045/R0105/001/MMO</t>
  </si>
  <si>
    <t>Subsistence,Travelling &amp; Accomodation (Car hire- with operator (shuttle)</t>
  </si>
  <si>
    <t>IDP Programme (Tent)</t>
  </si>
  <si>
    <t>O1358-3/IE00060/F0041/X045/R0106/001/MMO</t>
  </si>
  <si>
    <t>Ward Committes (Accommodation)</t>
  </si>
  <si>
    <t>O1358-3/IE00604/F0041/X045/R0106/001/MMO</t>
  </si>
  <si>
    <t>Ward Committes (Uniform(T-shirts)</t>
  </si>
  <si>
    <t>O0001/IE00036/F0041/X045/R0105/001/MMO</t>
  </si>
  <si>
    <t>O0001/IE00038/F0041/X045/R0105/001/MMO</t>
  </si>
  <si>
    <t>O0001/IE00040/F0041/X045/R0105/001/MMO</t>
  </si>
  <si>
    <t>O0001/IE00043/F0041/X045/R0105/001/MMO</t>
  </si>
  <si>
    <t>O0001/IE00044/F0041/X045/R0105/001/MMO</t>
  </si>
  <si>
    <t>Employee Related Cost (Provident Fund and Pension - RA)</t>
  </si>
  <si>
    <t>O0001/IE00045/F0041/X045/R0105/001/MMO</t>
  </si>
  <si>
    <t>O0001/IE00126/F0041/X045/R0105/001/MMO</t>
  </si>
  <si>
    <t>Employee Related Cost (Vehicle Allowance)</t>
  </si>
  <si>
    <t>O0001/IE01521/F0041/X045/R0105/001/MMO</t>
  </si>
  <si>
    <t>O0001/IE01530/F0041/X045/R0105/001/MMO</t>
  </si>
  <si>
    <t>O0001/IE01537/F0041/X045/R0105/001/MMO</t>
  </si>
  <si>
    <t>O0001/IE03969/F0041/X045/R0105/001/MMO</t>
  </si>
  <si>
    <t>Employee Related Cost Municipal Manager (Salaries and Allowances)</t>
  </si>
  <si>
    <t>O0001/IE06107/F0041/X045/R0105/001/MMO</t>
  </si>
  <si>
    <t>Employee Related Cost Municipal Manager (Performance Bonus)</t>
  </si>
  <si>
    <t>O0001/IE06266/F0041/X045/R0105/001/MMO</t>
  </si>
  <si>
    <t>Employee Related Cost Municipal Manager (UIF)</t>
  </si>
  <si>
    <t>O0001/IE06910/F0041/X045/R0105/001/MMO</t>
  </si>
  <si>
    <t>Employee Related Cost Municipal Manager (Vehicle Allowance)</t>
  </si>
  <si>
    <t xml:space="preserve">Totals  Operational Cost </t>
  </si>
  <si>
    <t xml:space="preserve">Totals Employee Related Cost </t>
  </si>
  <si>
    <t>O0022-2/IE00847/F0041/X006/R0106/001/COMM</t>
  </si>
  <si>
    <t>Waste Management  (Waste Collection and Disposal Transportation to Landfill Site )</t>
  </si>
  <si>
    <t>Social Cohesion/Dress a Child (Catering,)</t>
  </si>
  <si>
    <t>Social Cohesion/Dress a Child (Transport)</t>
  </si>
  <si>
    <t>Social Cohesion/Dress a Child (Sound System and Stage)</t>
  </si>
  <si>
    <t>Social Cohesion/Disability (Sound System and Stage)</t>
  </si>
  <si>
    <t>Social Cohesion/Disability (Catering,)</t>
  </si>
  <si>
    <t>Social Cohesion/Disability (facilitator)</t>
  </si>
  <si>
    <t>Social Cohesion/Disability(Transport)</t>
  </si>
  <si>
    <t>Catering (Catering for Reading)</t>
  </si>
  <si>
    <t>O1265-3/IE01317/F0041/X006/R0106/001/COMM</t>
  </si>
  <si>
    <t>Social Cohesion/Ingoma	(Sound System and Stage)</t>
  </si>
  <si>
    <t>Social Cohesion/Ingoma	(Catering,)</t>
  </si>
  <si>
    <t>Social Cohesion/Ingoma	(Transport)</t>
  </si>
  <si>
    <t>O0001/IE00060/F0041/X006/R0105/001/COMM</t>
  </si>
  <si>
    <t>O0001/IE00143/F0041/X006/R0105/001/COMM</t>
  </si>
  <si>
    <t>Accomodation and Subsistence (Transport without operator )</t>
  </si>
  <si>
    <t>O0001/IE00144/F0041/X006/R0105/001/COMM</t>
  </si>
  <si>
    <t>O0001/IE01581/F0041/X006/R0105/001/COMM</t>
  </si>
  <si>
    <t>Accomodation and Subsistence (Air Transport)</t>
  </si>
  <si>
    <t>Social Cohesion/Dress a Child (Tent )</t>
  </si>
  <si>
    <t>Social Cohesion/Orphans and Farmworkers	(Tent )</t>
  </si>
  <si>
    <t>O1265-1/IE00604/F0041/X006/R0106/001/COMM</t>
  </si>
  <si>
    <t>Social Cohesion/Ingoma	(Tent )</t>
  </si>
  <si>
    <t>Youth Development (Drivers Licences)</t>
  </si>
  <si>
    <t>O0001/IE00036/F0041/X006/R0105/001/COMM</t>
  </si>
  <si>
    <t>Employee Related Cost Cyber Cadet Library Grant (Salaries and Allowances)</t>
  </si>
  <si>
    <t>O0001/IE00038/F0041/X006/R0105/001/COMM</t>
  </si>
  <si>
    <t>Employee Related Cost (BONUS )</t>
  </si>
  <si>
    <t>Employee Related Cost Cyber Cadet Library Grant (Bonus )</t>
  </si>
  <si>
    <t>O0001/IE00040/F0041/X006/R0105/001/COMM</t>
  </si>
  <si>
    <t>Employee Related Cost (Bargaining Council (Library Grant)</t>
  </si>
  <si>
    <t>O0001/IE00043/F0041/X006/R0105/001/COMM</t>
  </si>
  <si>
    <t>Employee Related Cost (Medical Aid )</t>
  </si>
  <si>
    <t>Employee Related Cost Cyber Cadet Library Grant (Medical Aid )</t>
  </si>
  <si>
    <t>O0001/IE00044/F0041/X006/R0105/001/COMM</t>
  </si>
  <si>
    <t>Employee Related Cost ( Provident Fund and Pension - RA )</t>
  </si>
  <si>
    <t>Employee Related Cost Cyber Cadet Library Grant (Provident Fund and Pension)</t>
  </si>
  <si>
    <t>O0001/IE00045/F0041/X006/R0105/001/COMM</t>
  </si>
  <si>
    <t>Employee Related Cost (UIF )</t>
  </si>
  <si>
    <t>Employee Related Cost Cyber Cadet Library Grant ( UIF )</t>
  </si>
  <si>
    <t>O0001/IE00126/F0041/X006/R0105/001/COMM</t>
  </si>
  <si>
    <t>Employee Related Cost ( Vehicle Allowance )</t>
  </si>
  <si>
    <t>Skills Development Fund (Library Grant)</t>
  </si>
  <si>
    <t>O0001/IE01521/F0041/X006/R0105/001/COMM</t>
  </si>
  <si>
    <t>Employee Related Cost ( Housing Subsidy )</t>
  </si>
  <si>
    <t>O0001/IE01521/F9283/X024/R0105/001/COMM</t>
  </si>
  <si>
    <t>Employee Related Cost Cyber Cadet Library Grant (Housing Subsidy)</t>
  </si>
  <si>
    <t>O0001/IE01530/F0041/X006/R0105/001/COMM</t>
  </si>
  <si>
    <t>Employees Related Cost (Leave Pay)</t>
  </si>
  <si>
    <t>Employee Related Cost (Leave Pay Library)</t>
  </si>
  <si>
    <t>O0001/IE03969/F0041/X006/R0105/001/COMM</t>
  </si>
  <si>
    <t>Employee Related Cost (Overtime )</t>
  </si>
  <si>
    <t>Employee Related Cost Cyber Cadet Library Grant (Overtime)</t>
  </si>
  <si>
    <t>O0001/IE06084/F0041/X006/R0105/001/COMM</t>
  </si>
  <si>
    <t>Employee Related Cost Director Community Services (Salaries and Allowances )</t>
  </si>
  <si>
    <t>O0001/IE06206/F0041/X006/R0105/001/COMM</t>
  </si>
  <si>
    <t>Municipal Running Cost/Medical/Equitable Share/Community Halls and Faci/Administrative or Head O/Default/Community Services</t>
  </si>
  <si>
    <t>O0001/IE06254/F0041/X006/R0105/001/COMM</t>
  </si>
  <si>
    <t>Employee Related Cost Director Community Services  (UIF)</t>
  </si>
  <si>
    <t>O0001/IE06924/F0041/X006/R0105/001/COMM</t>
  </si>
  <si>
    <t>Employee Related Cost Director Community Services (Vehicle  Allowances)</t>
  </si>
  <si>
    <t xml:space="preserve">Total Transfers and Subsidies </t>
  </si>
  <si>
    <t>Total Employee Related Cost</t>
  </si>
  <si>
    <t>O0001/IE00008/F0041/X046/R0106/001/CORP</t>
  </si>
  <si>
    <t>Legal/ Consulting Fees (Legal/ Consulting Fees)</t>
  </si>
  <si>
    <t>Study Assistants (External)</t>
  </si>
  <si>
    <t>Employee wellness	(Training and Awareness Campaigns )</t>
  </si>
  <si>
    <t>Employee wellness	(Transport)</t>
  </si>
  <si>
    <t>Employee wellness (Catering Services)</t>
  </si>
  <si>
    <t>O0001/IE00683/F0041/X046/R0106/001/CORP</t>
  </si>
  <si>
    <t>Cleaning Services (Cleaning and Hygiene: SP)</t>
  </si>
  <si>
    <t>OHS (Catering)</t>
  </si>
  <si>
    <t>Training and Seminars  (Transport)</t>
  </si>
  <si>
    <t>Training and Seminars (Catering )</t>
  </si>
  <si>
    <t>Training and Seminars (Service Provider)</t>
  </si>
  <si>
    <t>O1565-2/IE00651/F0041/X046/R0106/001/CORP</t>
  </si>
  <si>
    <t>Repairs and Maintenance: (Vehicles)</t>
  </si>
  <si>
    <t>O3523-1/IE00649/F0041/X046/R0106/001/CORP</t>
  </si>
  <si>
    <t>Repairs and Maintenance: (Buildings)</t>
  </si>
  <si>
    <t>O0001/IE00545/F0041/X046/R0106/001/CORP</t>
  </si>
  <si>
    <t>Rent/ Lease (Rent/ Lease)</t>
  </si>
  <si>
    <t>OHS (Promotional material)</t>
  </si>
  <si>
    <t>Subsistence &amp; Travelling Allowance (Daily Allowance)</t>
  </si>
  <si>
    <t>Study Assistant (Internal )</t>
  </si>
  <si>
    <t>Membership Fees (Membership Fees)</t>
  </si>
  <si>
    <t>O0001/IE00604/F0041/X046/R0106/001/CORP</t>
  </si>
  <si>
    <t>Uniforms/ PPE (Uniforms/ PPE)</t>
  </si>
  <si>
    <t>Vehicle Tracking Device (Tracking device and Cameras)</t>
  </si>
  <si>
    <t>O0001/IE00607/F0041/X046/R0106/001/CORP</t>
  </si>
  <si>
    <t>Fuel and Oil (Fuel and Oil)</t>
  </si>
  <si>
    <t>O0001/IE00771/F0041/X046/R0105/001/CORP</t>
  </si>
  <si>
    <t>Postal Services (Postal Services)</t>
  </si>
  <si>
    <t>O0001/IE00778/F0041/X046/R0106/001/CORP</t>
  </si>
  <si>
    <t>Telephones (Telephones)</t>
  </si>
  <si>
    <t>O0001/IE00807/F0041/X046/R0106/001/CORP</t>
  </si>
  <si>
    <t>Subsistence,Travelling &amp; Accommodation (Flights)</t>
  </si>
  <si>
    <t>OHS (Accommodation)</t>
  </si>
  <si>
    <t>Internet Access (Internet Access )</t>
  </si>
  <si>
    <t>Training and Seminars (Accommodation)</t>
  </si>
  <si>
    <t>Employee wellness (Promotional Items)</t>
  </si>
  <si>
    <t>Repairs and Maintenance: (Computers)</t>
  </si>
  <si>
    <t>O0001/IE00036/F0041/X051/R0105/001/CORP</t>
  </si>
  <si>
    <t>Employee Related Costs (Salaries and Allowances)</t>
  </si>
  <si>
    <t>O0001/IE00038/F0041/X051/R0105/001/CORP</t>
  </si>
  <si>
    <t>O0001/IE00040/F0041/X051/R0105/001/CORP</t>
  </si>
  <si>
    <t>O0001/IE00043/F0041/X051/R0105/001/CORP</t>
  </si>
  <si>
    <t>Employee Related Cost-	Medical Aid</t>
  </si>
  <si>
    <t>O0001/IE00044/F0041/X051/R0105/001/CORP</t>
  </si>
  <si>
    <t>O0001/IE00045/F0041/X051/R0105/001/CORP</t>
  </si>
  <si>
    <t>O0001/IE00126/F0041/X051/R0105/001/CORP</t>
  </si>
  <si>
    <t>O0001/IE01521/F0041/X051/R0105/001/CORP</t>
  </si>
  <si>
    <t>O0001/IE03969/F0041/X051/R0105/001/CORP</t>
  </si>
  <si>
    <t>O0001/IE06075/F0041/X051/R0105/001/CORP</t>
  </si>
  <si>
    <t>Employee related cost Director Corporate  Services (Salaries and Allowances)</t>
  </si>
  <si>
    <t>O0001/IE06262/F0041/X051/R0105/001/CORP</t>
  </si>
  <si>
    <t>Employee related cost Director Corporate  Services (UIF)</t>
  </si>
  <si>
    <t>O0001/IE06919/F0041/X051/R0105/001/CORP</t>
  </si>
  <si>
    <t>Employee related cost Director Corporate  Services (Vehicle Allowance)</t>
  </si>
  <si>
    <t xml:space="preserve">Total Employee Related Cost </t>
  </si>
  <si>
    <t>O0001/IE00059/F0041/X044/R0105/001/EXEC</t>
  </si>
  <si>
    <t>O0001/IE00060/F0041/X044/R0105/001/EXEC</t>
  </si>
  <si>
    <t>O0001/IE00143/F0041/X044/R0105/001/EXEC</t>
  </si>
  <si>
    <t>Subsistence,Travelling &amp; Accomodation (Travel and Subsistence:Domestic:Transport without Operator:Car Rental)</t>
  </si>
  <si>
    <t>O0001/IE00144/F0041/X044/R0105/001/EXEC</t>
  </si>
  <si>
    <t>O0001/IE00595/F0041/X044/R0105/001/EXEC</t>
  </si>
  <si>
    <t>O0001/IE01581/F0041/X044/R0105/001/EXEC</t>
  </si>
  <si>
    <t>Subsistence,Travelling &amp; Accomodation (Travel and Subsistence:Domestic:Transport with Operator:Public Transport:Air Transport)</t>
  </si>
  <si>
    <t>O0001/IE01583/F0041/X044/R0105/001/EXEC</t>
  </si>
  <si>
    <t>Subsistence,Travelling &amp; Accomodation (Travel and Subsistence:Domestic:Transport with Operator:Public Transport:Road Transport)</t>
  </si>
  <si>
    <t>O0001/IE00073/F0041/X044/R0105/001/EXEC</t>
  </si>
  <si>
    <t>Remuneration for councillors	(Speaker:Social Contributions:Medial Aid Benefits)</t>
  </si>
  <si>
    <t>O0001/IE00816/F0041/X044/R0105/001/EXEC</t>
  </si>
  <si>
    <t>Remuneration for councillors	(Speaker:Allowances and Service Related Benefits:Basic Salary)</t>
  </si>
  <si>
    <t>O0001/IE00817/F0041/X044/R0105/001/EXEC</t>
  </si>
  <si>
    <t>Remuneration for councillors (Speaker:Allowances and Service Related Benefits:Cell phone Allowance)</t>
  </si>
  <si>
    <t>Municipal Running Cost/Motor Vehicle Allowance/Equitable Share/Mayor and Council/Administrative or Head O/Default/Executive &amp; Council</t>
  </si>
  <si>
    <t>Municipal Running Cost/Medial Aid Benefits/Equitable Share/Mayor and Council/Administrative or Head O/Default/Executive &amp; Council</t>
  </si>
  <si>
    <t>O0001/IE07194/F0041/X044/R0105/001/EXEC</t>
  </si>
  <si>
    <t>Remuneration for councillors	(Deputy Executive Mayor:Allowances and Service Related Benefits:Basic Salary)</t>
  </si>
  <si>
    <t>O0001/IE07195/F0041/X044/R0105/001/EXEC</t>
  </si>
  <si>
    <t>Remuneration for councillors	(Deputy Executive Mayor:Allowances and Service Related Benefits:Cell phone Allowance)</t>
  </si>
  <si>
    <t>O0001/IE07204/F0041/X044/R0105/001/EXEC</t>
  </si>
  <si>
    <t>Remuneration for councillors	(Deputy Executive Mayor:Social Contributions:Medial Aid Benefits)</t>
  </si>
  <si>
    <t>O0001/IE07205/F0041/X044/R0105/001/EXEC</t>
  </si>
  <si>
    <t>Remuneration for councillors (Deputy Executive Mayor:Social Contributions:Pension Fund Contributions)</t>
  </si>
  <si>
    <t>O0001/IE07206/F0041/X044/R0105/001/EXEC</t>
  </si>
  <si>
    <t>Remuneration for councillors	(Executive Committee:Allowances and Service Related Benefits:Basic Salary)</t>
  </si>
  <si>
    <t>O0001/IE07207/F0041/X044/R0105/001/EXEC</t>
  </si>
  <si>
    <t>Remuneration for councillors (Executive Committee:Allowances and Service Related Benefits:Cell phone Allowance)</t>
  </si>
  <si>
    <t>O0001/IE07216/F0041/X044/R0105/001/EXEC</t>
  </si>
  <si>
    <t>O0001/IE07217/F0041/X044/R0105/001/EXEC</t>
  </si>
  <si>
    <t>Remuneration for councillors	(Executive Committee:Social Contributions:Pension Fund Contributions)</t>
  </si>
  <si>
    <t>O0001/IE07218/F0041/X044/R0105/001/EXEC</t>
  </si>
  <si>
    <t>Remuneration for councillors	(Executive Mayor:Allowances and Service Related Benefits:Basic Salary)</t>
  </si>
  <si>
    <t>O0001/IE07219/F0041/X044/R0105/001/EXEC</t>
  </si>
  <si>
    <t>Remuneration for councillors	(Executive Mayor:Allowances and Service Related Benefits:Cell phone Allowance)</t>
  </si>
  <si>
    <t>O0001/IE07228/F0041/X044/R0105/001/EXEC</t>
  </si>
  <si>
    <t>Remuneration for councillors	(Executive Mayor:Social Contributions:Medial Aid Benefits)</t>
  </si>
  <si>
    <t>O0001/IE07230/F0041/X044/R0105/001/EXEC</t>
  </si>
  <si>
    <t>Remuneration for councillors	(Total for All Other Councillors:Allowances and Service Related Benefits:Basic Salary)</t>
  </si>
  <si>
    <t>O0001/IE07231/F0041/X044/R0105/001/EXEC</t>
  </si>
  <si>
    <t>Remuneration for councillors	(Total for All Other Councillors:Allowances and Service Related Benefits:Cell phone Allowance)</t>
  </si>
  <si>
    <t>O0001/IE07235/F0041/X044/R0105/001/EXEC</t>
  </si>
  <si>
    <t>O0001/IE07238/F0041/X044/R0105/001/EXEC</t>
  </si>
  <si>
    <t>Employee related costs: council (Total for All Other Councillors:Allowances and Service Related Benefits:Travelling Allowance)</t>
  </si>
  <si>
    <t>O0001/IE07240/F0041/X044/R0105/001/EXEC</t>
  </si>
  <si>
    <t>Employee related costs: council (Total for All Other Councillors:Social Contributions:Medial Aid Benefits)</t>
  </si>
  <si>
    <t>O0001/IE07241/F0041/X044/R0105/001/EXEC</t>
  </si>
  <si>
    <t>Employee related costs: council (Total for All Other Councillors:Social Contributions:Pension Fund Contributions)</t>
  </si>
  <si>
    <t xml:space="preserve">Remuneration of Councillors </t>
  </si>
  <si>
    <t xml:space="preserve">Total Remuneration of Councillors </t>
  </si>
  <si>
    <t>O1217-1/IE00642/F0041/X098/R0106/001/EDP</t>
  </si>
  <si>
    <t>O1217-3/IE00667/F0041/X098/R0106/001/EDP</t>
  </si>
  <si>
    <t>LED 	(Sound system)</t>
  </si>
  <si>
    <t>O1217-3/IE00677/F0041/X098/R0106/001/EDP</t>
  </si>
  <si>
    <t>LED (Catering Services)</t>
  </si>
  <si>
    <t>O1217-3/IE00703/F0041/X098/R0106/001/EDP</t>
  </si>
  <si>
    <t>LED 	(Transport)</t>
  </si>
  <si>
    <t>SMME Development (Catering)</t>
  </si>
  <si>
    <t>O1249-2/IE00697/F0041/X098/R0106/001/EDP</t>
  </si>
  <si>
    <t>SMME Development (Support )</t>
  </si>
  <si>
    <t>O1249-3/IE00672/F0041/X098/R0106/001/EDP</t>
  </si>
  <si>
    <t>Cooperatives Development  (Identification and Database),(Gaps Identification)</t>
  </si>
  <si>
    <t>O1249-4/IE00677/F0041/X098/R0106/001/EDP</t>
  </si>
  <si>
    <t>Cooperatives Development  (Catering)</t>
  </si>
  <si>
    <t>O1303-1/IE00022/F0041/X098/R0106/001/EDP</t>
  </si>
  <si>
    <t>Proffesional Fees  (LED Strategy) (Tourism Strategy) (Pilgrimage Packaging)</t>
  </si>
  <si>
    <t>O1305-3/IE00671/F0041/X098/R0106/001/EDP</t>
  </si>
  <si>
    <t>SMME Development (Transport)</t>
  </si>
  <si>
    <t>O1305-4/IE00667/F0041/X098/R0106/001/EDP</t>
  </si>
  <si>
    <t>SMME Development (sound system)</t>
  </si>
  <si>
    <t>Tourisim development	(Catering)</t>
  </si>
  <si>
    <t>O1354-2/IE00667/F0041/X098/R0106/001/EDP</t>
  </si>
  <si>
    <t>Tourisim development (Sound system)</t>
  </si>
  <si>
    <t>O1354-2/IE00671/F0041/X098/R0106/001/EDP</t>
  </si>
  <si>
    <t>Tourisim development	(Transport)</t>
  </si>
  <si>
    <t>O1217-2/IE00534/F0041/X098/R0106/001/EDP</t>
  </si>
  <si>
    <t>O0001/IE00595/F0041/X098/R0105/001/EDP</t>
  </si>
  <si>
    <t>O1354-2/IE00594/F0041/X098/R0106/001/EDP</t>
  </si>
  <si>
    <t>Tourisim development (exhibition stand(tourism indaba)</t>
  </si>
  <si>
    <t>O1354-2/IE00754/F0041/X098/R0106/001/EDP</t>
  </si>
  <si>
    <t>Tourisim development	(Tourism awareness (gifts/ promotional items)</t>
  </si>
  <si>
    <t>O0001/IE00036/F0041/X098/R0105/001/EDP</t>
  </si>
  <si>
    <t>O0001/IE00038/F0041/X098/R0105/001/EDP</t>
  </si>
  <si>
    <t>O0001/IE00040/F0041/X098/R0105/001/EDP</t>
  </si>
  <si>
    <t>O0001/IE00043/F0041/X098/R0105/001/EDP</t>
  </si>
  <si>
    <t>O0001/IE00044/F0041/X098/R0105/001/EDP</t>
  </si>
  <si>
    <t>O0001/IE00045/F0041/X098/R0105/001/EDP</t>
  </si>
  <si>
    <t>Employee Related Cost	(UIF)</t>
  </si>
  <si>
    <t>O0001/IE00126/F0041/X098/R0105/001/EDP</t>
  </si>
  <si>
    <t>O0001/IE01521/F0041/X098/R0105/001/EDP</t>
  </si>
  <si>
    <t>Employee Related Cost	(Housing Subsidy)</t>
  </si>
  <si>
    <t>O0001/IE03969/F0041/X098/R0105/001/EDP</t>
  </si>
  <si>
    <t>Employee Related Cost	(Overtime)</t>
  </si>
  <si>
    <t>O0001/IE06076/F0041/X098/R0105/001/EDP</t>
  </si>
  <si>
    <t>Employee Related Cost Director EDP (Salaries and Allowances)</t>
  </si>
  <si>
    <t>O0001/IE06203/F0041/X098/R0105/001/EDP</t>
  </si>
  <si>
    <t>O0001/IE06260/F0041/X098/R0105/001/EDP</t>
  </si>
  <si>
    <t>Employee Related Cost Director EDP (UIF)</t>
  </si>
  <si>
    <t>O0001/IE06912/F0041/X098/R0105/001/EDP</t>
  </si>
  <si>
    <t>Employee Related Cost Director EDP (Vehicle Allowance)</t>
  </si>
  <si>
    <t>National Government (Municipal Infrastructure Grant)</t>
  </si>
  <si>
    <t>National Government (Expanded Public Works Programme Integrated Grant)</t>
  </si>
  <si>
    <t>Professional Fees  (New Municipal Offices: Design,Eletrification Licence study ,Comprehensive infrastructure Plan,Technical Assessment for electrification usage on Municipal Facilities/Assets and Ward 11 Electrification investigation on malfunctioning and</t>
  </si>
  <si>
    <t>O0968-1/IE00649/F0041/X116/R0106/001/TECH</t>
  </si>
  <si>
    <t>Repairs and Maintenance (Vehicles)</t>
  </si>
  <si>
    <t>O0001/IE00144/F0041/X116/R0105/001/TECH</t>
  </si>
  <si>
    <t>O0001/IE00584/F0041/X116/R0105/001/TECH</t>
  </si>
  <si>
    <t>O0001/IE00604/F0041/X116/R0105/001/TECH</t>
  </si>
  <si>
    <t>O0001/IE01581/F0041/X116/R0105/001/TECH</t>
  </si>
  <si>
    <t>Municipal Running Cost/Air Transport/Equitable Share/Roads/Administrative or Head O/Default/Technical Services</t>
  </si>
  <si>
    <t>Conferences (Workshop and  seminer)</t>
  </si>
  <si>
    <t>O0001/IE00036/F0041/X116/R0105/001/TECH</t>
  </si>
  <si>
    <t>O0001/IE00036/F0041/X137/R0105/001/TECH</t>
  </si>
  <si>
    <t>Thumamina salaries EPWP (Salaries and Allowances)</t>
  </si>
  <si>
    <t>EPWP staff (Salaries and Allowances)</t>
  </si>
  <si>
    <t>O0001/IE00038/F0041/X116/R0105/001/TECH</t>
  </si>
  <si>
    <t>O0001/IE00040/F0041/X116/R0105/001/TECH</t>
  </si>
  <si>
    <t>O0001/IE00043/F0041/X116/R0105/001/TECH</t>
  </si>
  <si>
    <t>O0001/IE00044/F0041/X116/R0105/001/TECH</t>
  </si>
  <si>
    <t>O0001/IE00045/F0041/X116/R0105/001/TECH</t>
  </si>
  <si>
    <t>O0001/IE00045/F0041/X137/R0105/001/TECH</t>
  </si>
  <si>
    <t>Thumamina salaries EPWP (UIF)</t>
  </si>
  <si>
    <t>EPWP staff (UIF)</t>
  </si>
  <si>
    <t>O0001/IE00126/F0041/X116/R0105/001/TECH</t>
  </si>
  <si>
    <t>O0001/IE01521/F0041/X116/R0105/001/TECH</t>
  </si>
  <si>
    <t>O0001/IE01530/F0041/X116/R0105/001/TECH</t>
  </si>
  <si>
    <t>O0001/IE03969/F0041/X116/R0105/001/TECH</t>
  </si>
  <si>
    <t>O0001/IE06079/F0041/X116/R0105/001/TECH</t>
  </si>
  <si>
    <t>Employee Related cost Director Technical Services (Salaries and Allowances)</t>
  </si>
  <si>
    <t>O0001/IE06194/F0041/X116/R0105/001/TECH</t>
  </si>
  <si>
    <t>Municipal Running Cost/Medical/Equitable Share/Roads/Administrative or Head O/Default/Technical Services</t>
  </si>
  <si>
    <t>O0001/IE06253/F0041/X116/R0105/001/TECH</t>
  </si>
  <si>
    <t>Employee Related Cost Director Technical Services (UIF)</t>
  </si>
  <si>
    <t>O0001/IE06913/F0041/X116/R0105/001/TECH</t>
  </si>
  <si>
    <t>Employee Related Cost Director Technical Services (Vehicle Allowance)</t>
  </si>
  <si>
    <t>Upgrade of electrical Infrastructure project in Applesbosch Ward 6</t>
  </si>
  <si>
    <t xml:space="preserve"> Employee Related Cost </t>
  </si>
  <si>
    <t xml:space="preserve">Skills Development Levies </t>
  </si>
  <si>
    <t>FINANCE</t>
  </si>
  <si>
    <t>MUNICIPAL MANAGER</t>
  </si>
  <si>
    <t>CORPORATE SERVICES</t>
  </si>
  <si>
    <t>COMMUNITY SERVICES</t>
  </si>
  <si>
    <t>EDP</t>
  </si>
  <si>
    <t>EXECUTIVE COUNCIL</t>
  </si>
  <si>
    <t>TECHNICAL SERVICES</t>
  </si>
  <si>
    <t>DESCRIPTION</t>
  </si>
  <si>
    <t>Rental of facilities and equipment</t>
  </si>
  <si>
    <t>Property rates</t>
  </si>
  <si>
    <t>Interest earned - external investments</t>
  </si>
  <si>
    <t>Interest earned - outstanding debtors</t>
  </si>
  <si>
    <t>Fines, penalties and forfeits</t>
  </si>
  <si>
    <t>Licences and permits</t>
  </si>
  <si>
    <t>Transfers and subsidies</t>
  </si>
  <si>
    <t>Other revenue</t>
  </si>
  <si>
    <t>Gains on disposal of PPE</t>
  </si>
  <si>
    <t>Expenditure By Type</t>
  </si>
  <si>
    <t>Employee related costs</t>
  </si>
  <si>
    <t>Remuneration of councillors</t>
  </si>
  <si>
    <t>Depreciation &amp; asset impairment</t>
  </si>
  <si>
    <t>Finance charges</t>
  </si>
  <si>
    <t>Bulk purchases</t>
  </si>
  <si>
    <t>Other expenditure</t>
  </si>
  <si>
    <t>Loss on disposal of PPE</t>
  </si>
  <si>
    <t>Surplus/(Deficit) for the year</t>
  </si>
  <si>
    <t xml:space="preserve">Transfers and subsidies - capital </t>
  </si>
  <si>
    <t>Revenue By Source</t>
  </si>
  <si>
    <t>EPWP Fuel</t>
  </si>
  <si>
    <t>O2817-1/IE00651/F0041/X116/R3711/001/TECH</t>
  </si>
  <si>
    <t>Subscription Legal</t>
  </si>
  <si>
    <t xml:space="preserve">Shared Fraud hotline </t>
  </si>
  <si>
    <t>Grant from Ilembe</t>
  </si>
  <si>
    <t>Leave Pay</t>
  </si>
  <si>
    <t>Indigent</t>
  </si>
  <si>
    <t>Electrification Projects</t>
  </si>
  <si>
    <t>Proffessional Fees Community Services</t>
  </si>
  <si>
    <t>Proffessional Fees Corporate Services</t>
  </si>
  <si>
    <t>Employee Related Cost Director Technical Services (Perfomance Bonus)</t>
  </si>
  <si>
    <t>D0001/IR05707/F4441/X049/R0106/001/FIN</t>
  </si>
  <si>
    <t>D0001/IR01429/F0047/X049/R0106/001/FIN</t>
  </si>
  <si>
    <t>O0024-1/IE00578/F0041/X045/R0105/001/MMO</t>
  </si>
  <si>
    <t>O0001/IE00584/F0045/X046/R0106/001/CORP</t>
  </si>
  <si>
    <t>O0001/IE01530/F0041/X098/R0105/001/EDP</t>
  </si>
  <si>
    <t>O0001/IE00607/F0041/X116/R0105/001/TECH</t>
  </si>
  <si>
    <t>O0001/IE06112/F0041/X116/R0105/001/TECH</t>
  </si>
  <si>
    <t>D0001/IR02318/F1177/X049/R0105/001/FIN</t>
  </si>
  <si>
    <t>O1232-7/IE00143/F0041/X049/R0106/001/FIN</t>
  </si>
  <si>
    <t>O0001/IE00595/F1177/X049/R0105/001/FIN</t>
  </si>
  <si>
    <t>O0001/IE00144/F0041/X049/R0105/001/FIN</t>
  </si>
  <si>
    <t>O0001/IE00036/F1177/X049/R0105/001/FIN</t>
  </si>
  <si>
    <t>O0001/IE01530/F0041/X051/R0105/001/CORP</t>
  </si>
  <si>
    <t>O0001/IE06196/F0041/X051/R0105/001/CORP</t>
  </si>
  <si>
    <t>O0001/IE06117/F0041/X051/R0105/001/CORP</t>
  </si>
  <si>
    <t>D0001/IR02310/F1169/X116/R0106/001/TECH</t>
  </si>
  <si>
    <t>O1565-1/IE00651/F0041/X116/R0106/001/TECH</t>
  </si>
  <si>
    <t>O0001/IE00036/F1169/X137/R0105/001/TECH</t>
  </si>
  <si>
    <t>O0001/IE00045/F1169/X137/R0105/001/TECH</t>
  </si>
  <si>
    <t>O1249-3/IE00847/F0041/X098/R0106/001/EDP</t>
  </si>
  <si>
    <t>O1116-1/IE00651/F0041/X116/R0106/001/TECH</t>
  </si>
  <si>
    <t>General Expenditure</t>
  </si>
  <si>
    <t xml:space="preserve">Subsistence and Travelling Allowance </t>
  </si>
  <si>
    <t xml:space="preserve">Computer Software, Programs and Licences </t>
  </si>
  <si>
    <t xml:space="preserve">Professional Fees </t>
  </si>
  <si>
    <t>Professional Fees ( Annual Report Printing )</t>
  </si>
  <si>
    <t>Professional Fees (IDP Printing)</t>
  </si>
  <si>
    <t xml:space="preserve">Ward Committes </t>
  </si>
  <si>
    <t>Reading Programme</t>
  </si>
  <si>
    <t xml:space="preserve">Social Cohesion/Dress a Child </t>
  </si>
  <si>
    <t>Social Cohesion/Ingoma</t>
  </si>
  <si>
    <t xml:space="preserve">Social Cohesion/Orphans and Farmworkers </t>
  </si>
  <si>
    <t>Social Cohesion/Dress a Child (School Uniform)</t>
  </si>
  <si>
    <t>Recruitment</t>
  </si>
  <si>
    <t xml:space="preserve">General Advertisement </t>
  </si>
  <si>
    <t xml:space="preserve">Communication and Branding </t>
  </si>
  <si>
    <t>Accomodation and Subsistence (Accomodation)</t>
  </si>
  <si>
    <t>Employee wellness</t>
  </si>
  <si>
    <t>OHS</t>
  </si>
  <si>
    <t>Repairs and Maintenance:</t>
  </si>
  <si>
    <t xml:space="preserve">Training and Seminars </t>
  </si>
  <si>
    <t>Subsistence and Travelling Allowance</t>
  </si>
  <si>
    <t xml:space="preserve">Cluster Commercial Gardens </t>
  </si>
  <si>
    <t xml:space="preserve">Cooperatives Development </t>
  </si>
  <si>
    <t xml:space="preserve">LED </t>
  </si>
  <si>
    <t xml:space="preserve">SMME Development </t>
  </si>
  <si>
    <t xml:space="preserve">Tourisim development </t>
  </si>
  <si>
    <t>EPWP</t>
  </si>
  <si>
    <t>Repairs and Maintenance</t>
  </si>
  <si>
    <t xml:space="preserve">Social Cohesion /Gender </t>
  </si>
  <si>
    <t xml:space="preserve">HIV and AIDS Programmes </t>
  </si>
  <si>
    <t>Catering</t>
  </si>
  <si>
    <t>Umkhosi womhlanga</t>
  </si>
  <si>
    <t>Operation Sukuma Sakhe</t>
  </si>
  <si>
    <t>Car Branding</t>
  </si>
  <si>
    <t>Council Meetings</t>
  </si>
  <si>
    <t>Licence and Registration fees</t>
  </si>
  <si>
    <t>Maskandi Festival</t>
  </si>
  <si>
    <t>Ndwedwe Music Festival</t>
  </si>
  <si>
    <t>Cluster Commercial Gardens (agricultural tool)</t>
  </si>
  <si>
    <t>Cluster Commercial Gardens (Support Seeds)</t>
  </si>
  <si>
    <t>Cooperatives Development (Support)</t>
  </si>
  <si>
    <t xml:space="preserve">SMME Development (Gaps Identification and Training) </t>
  </si>
  <si>
    <t xml:space="preserve">Council Training </t>
  </si>
  <si>
    <t>Budget and IDP Programme/ Mayoral Imbizo</t>
  </si>
  <si>
    <t xml:space="preserve">Printing and Stationery </t>
  </si>
  <si>
    <t>Waste Management (Uniform and Protective)</t>
  </si>
  <si>
    <t>Umkhosi Womhlanga (Catering)</t>
  </si>
  <si>
    <t>Umkhosi Womhlanga (Transport)</t>
  </si>
  <si>
    <t>Umkhosi Womhlanga (Promotional Materials)</t>
  </si>
  <si>
    <t>0001/IE06117/F0041/X006/R0105/001/COMM</t>
  </si>
  <si>
    <t>Employee Related Cost Director Community Services (Performance Bonuses)</t>
  </si>
  <si>
    <t>O0001/IE00059/F0041/X045/R0105/001/MMO</t>
  </si>
  <si>
    <t>Diary/calender's/folders/Flags/Banners</t>
  </si>
  <si>
    <t>Buildings Branding</t>
  </si>
  <si>
    <t>Council Meetings (Catering)</t>
  </si>
  <si>
    <t>Council Meetings (Tent Hire)</t>
  </si>
  <si>
    <t>Council Meetings (Sound system)</t>
  </si>
  <si>
    <t>Council Meetings (Accommodation and venue hire)</t>
  </si>
  <si>
    <t>O0006-2/IE00667/F0041/X046/R0105/001/CORP</t>
  </si>
  <si>
    <t>O0006-2/IE00571/F0041/X046/R0105/001/CORP</t>
  </si>
  <si>
    <t>O0006-2/IE00677/F0041/X046/R0105/001/CORP</t>
  </si>
  <si>
    <t>O0006-2/IE00060/F0041/X046/R0105/001/CORP</t>
  </si>
  <si>
    <t>Professional Fees (Electronic Records management)</t>
  </si>
  <si>
    <t>Professional Fees (ICT Maintenance)</t>
  </si>
  <si>
    <t>Professional Fees (Website Hosting)</t>
  </si>
  <si>
    <t>Professional Fees (E-Leave management)</t>
  </si>
  <si>
    <t>O0018-1/IE00021/F0041/X046/R0105/001/CORP</t>
  </si>
  <si>
    <t>Subsistence,Travelling &amp; Accommodation (Car hire- without operator)</t>
  </si>
  <si>
    <t>Subsistence,Travelling &amp; Accommodation (Car hire- with operator (shuttle)</t>
  </si>
  <si>
    <t>Subsistence,Travelling &amp; Accommodation (Incidental costs)</t>
  </si>
  <si>
    <t>Employee related cost Director Corporate  Services (Performance Bonus)</t>
  </si>
  <si>
    <t>Employee related cost Director Corporate  Services (Medical Aid)</t>
  </si>
  <si>
    <t>Ndwedwe Music Festival (Grant)</t>
  </si>
  <si>
    <t>Ndwedwe Music Festival (Electrical Lights)</t>
  </si>
  <si>
    <t>Ndwedwe Music Festival (Fencing)</t>
  </si>
  <si>
    <t>O1291-5/IE00634/F0041/X098/R0106/001/EDP</t>
  </si>
  <si>
    <t>O1291-5/IE00663/F0041/X098/R0106/001/EDP</t>
  </si>
  <si>
    <t>Maskandi Festival (Promotional Gifts)</t>
  </si>
  <si>
    <t>Maskandi Festival (Catering)</t>
  </si>
  <si>
    <t>Maskandi Festival (Stage and Sound System)</t>
  </si>
  <si>
    <t>O1306-1/IE00667/F0041/X098/R0106/001/EDP</t>
  </si>
  <si>
    <t>O1306-1/IE00677/F0041/X098/R0106/001/EDP</t>
  </si>
  <si>
    <t>O1306-1/IE00754/F0041/X098/R0106/001/EDP</t>
  </si>
  <si>
    <t>Cluster Commercial Gardens (Gardens Fencing)</t>
  </si>
  <si>
    <t>Cluster Commercial Gardens (Water Supply system)</t>
  </si>
  <si>
    <t>O1217-5/IE00629/F0041/X098/R0106/001/EDP</t>
  </si>
  <si>
    <t>O1217-5/IE00663/F0041/X098/R0106/001/EDP</t>
  </si>
  <si>
    <t xml:space="preserve">Ndwedwe Town Development </t>
  </si>
  <si>
    <t>Ndwedwe Town Development (Engineering)</t>
  </si>
  <si>
    <t>Ndwedwe Town Development (Town Planning)</t>
  </si>
  <si>
    <t>Employee Related Cost Director EDP (Medical Aid)</t>
  </si>
  <si>
    <t>Employee Related Cost Director EDP (Performance Bonus)</t>
  </si>
  <si>
    <t>O0001/IE06109/F0041/X098/R0105/001/EDP</t>
  </si>
  <si>
    <t>O0001/IE00840/F0041/X044/R0105/001/EXEC</t>
  </si>
  <si>
    <t>Project Hand Over, Sol Turning and General project meetings</t>
  </si>
  <si>
    <t>O0001/IE00143/F0041/X116/R0105/001/TECH</t>
  </si>
  <si>
    <t>GIS Projects</t>
  </si>
  <si>
    <t>Provincial Library Grant</t>
  </si>
  <si>
    <t>Community Library Services Grant</t>
  </si>
  <si>
    <t>Social Cohesion/Umkhosi Wesintu</t>
  </si>
  <si>
    <t>O1354-1/IE00636/F0041/X098/R0106/001/EDP</t>
  </si>
  <si>
    <t>O0370-1/IE00651/F0041/X116/R0106/001/TECH</t>
  </si>
  <si>
    <t>D0001/IR01038/F2496/X049/R0105/001/FIN</t>
  </si>
  <si>
    <t>D0001/IR01487/F2496/X049/R0105/001/FIN</t>
  </si>
  <si>
    <t>Clearance Certificates</t>
  </si>
  <si>
    <t>D0001/IR01435/F0045/X049/R0105/001/FIN</t>
  </si>
  <si>
    <t>D0001/IR01420/F0045/X049/R0105/001/FIN</t>
  </si>
  <si>
    <t>Insurance Refund</t>
  </si>
  <si>
    <t>D0001/IR01411/F0045/X049/R0105/001/FIN</t>
  </si>
  <si>
    <t>Administrative Handling</t>
  </si>
  <si>
    <t>D0001/IR01424/F0045/X049/R0105/001/FIN</t>
  </si>
  <si>
    <t>Skills Development Levy Refund</t>
  </si>
  <si>
    <t xml:space="preserve">Interest Earned on Short Term Investments  </t>
  </si>
  <si>
    <t>D0001/IR01061/F2495/X049/R0105/001/FIN</t>
  </si>
  <si>
    <t>D0001/IR02344/F0041/X049/R0105/001/FIN</t>
  </si>
  <si>
    <t>D0001/IR01484/F2496/X049/R0106/001/FIN</t>
  </si>
  <si>
    <t>D0001/IR01496/F2496/X049/R0106/001/FIN</t>
  </si>
  <si>
    <t>D0001/IR01043/F2496/X049/R0106/001/FIN</t>
  </si>
  <si>
    <t>D0001/IR01048/F2496/X049/R0106/001/FIN</t>
  </si>
  <si>
    <t>Sale of Tender Documents</t>
  </si>
  <si>
    <t>D0001/IR01113/F0047/X049/R0106/001/FIN</t>
  </si>
  <si>
    <t>D0001/IR01068/F2494/X049/R0106/001/FIN</t>
  </si>
  <si>
    <t>D0001/IR01265/F0046/X049/R0105/001/FIN</t>
  </si>
  <si>
    <t>Assets less than the Capitalization Threshold (EPWP)</t>
  </si>
  <si>
    <t>O0001/IE00550/F0041/X116/R0106/001/TECH</t>
  </si>
  <si>
    <t>O0001/IE00030/F0001/X049/R0106/001/FIN</t>
  </si>
  <si>
    <t>O0001/IE07606/F0001/X049/R0106/001/FIN</t>
  </si>
  <si>
    <t>O0001/IE00709/F0001/X049/R0106/001/FIN</t>
  </si>
  <si>
    <t>O0001/IE00711/F0001/X049/R0106/001/FIN</t>
  </si>
  <si>
    <t>O0001/IE00715/F0001/X049/R0106/001/FIN</t>
  </si>
  <si>
    <t>O0001/IE07587/F0001/X049/R0106/001/FIN</t>
  </si>
  <si>
    <t>O0001/IE00723/F0001/X049/R0106/001/FIN</t>
  </si>
  <si>
    <t>O0001/IE00848/F0041/X049/R0105/001/FIN</t>
  </si>
  <si>
    <t>Employee Related Cost (Long Term Service Awards)</t>
  </si>
  <si>
    <t>O0001/IE00110/F0041/X116/R0105/001/TECH</t>
  </si>
  <si>
    <t>O0001/IE00110/F0041/X045/R0105/001/MMO</t>
  </si>
  <si>
    <t>O0001/IE00110/F0041/X051/R0105/001/CORP</t>
  </si>
  <si>
    <t>O0001/IE00110/F0041/X098/R0105/001/EDP</t>
  </si>
  <si>
    <t>O0001/IE00110/F0041/X006/R0105/001/COMM</t>
  </si>
  <si>
    <t>O0001/IE06772/F0041/X049/R0105/001/FIN</t>
  </si>
  <si>
    <t>Depreciation, Amortization &amp; Impairment (Computer Software)</t>
  </si>
  <si>
    <t>D0001/IR006985/F13636/X024/R0106/001/COMM</t>
  </si>
  <si>
    <t>D0001/IR006972/F13636/X024/R0105/001/COMM</t>
  </si>
  <si>
    <t>Social Cohesion/Orphans and Farm workers (Transport)</t>
  </si>
  <si>
    <t xml:space="preserve">Social Cohesion/Orphans and Farm workers (Catering) </t>
  </si>
  <si>
    <t>Social Cohesion/Orphans and Farm workers (Sound System and Stage)</t>
  </si>
  <si>
    <t>O0001/IE00595/F13636/X024/R0105/001/COMM</t>
  </si>
  <si>
    <t>Social Cohesion/Umkhosi Wesintu (Catering,)</t>
  </si>
  <si>
    <t>Social Cohesion/Umkhosi Wesintu (facilitator)</t>
  </si>
  <si>
    <t>Social Cohesion/Umkhosi Wesintu (Sound System and Stage)</t>
  </si>
  <si>
    <t>Social Cohesion/Umkhosi Wesintu (Tent )</t>
  </si>
  <si>
    <t>Social Cohesion/Umkhosi Wesintu (Transport)</t>
  </si>
  <si>
    <t>O0001/IE01530/F13636/X024/R0105/001/COMM</t>
  </si>
  <si>
    <t>O0001/IE00040/F13636/X024/R0105/001/COMM</t>
  </si>
  <si>
    <t>O0001/IE00045/F13636/X024/R0105/001/COMM</t>
  </si>
  <si>
    <t>O0001/IE03969/F13636/X024/R0105/001/COMM</t>
  </si>
  <si>
    <t>O0001/IE00645/F0041/X046/R0105/001/CORP</t>
  </si>
  <si>
    <t>D0001/IR01451/F0001/X049/R0105/001/FIN</t>
  </si>
  <si>
    <t>O3612/IR01481/F0001/X049/R5253/001/FIN</t>
  </si>
  <si>
    <t>Property Rates (Rebate)</t>
  </si>
  <si>
    <t>O0001/IE00040/F1177/X049/R0105/001/FINA</t>
  </si>
  <si>
    <t>O0001/IE00045/F1177/X049/R0105/001/FINA</t>
  </si>
  <si>
    <t>O0001/IE06071/F0041/X049/R0105/001/FIN</t>
  </si>
  <si>
    <t>O0001/IE01521/F0041/X049/R0105/001/FIN</t>
  </si>
  <si>
    <t>O0001/IE00045/F0041/X049/R0105/001/FINA</t>
  </si>
  <si>
    <t>O0001/IE00040/F0041/X049/R0105/001/FIN</t>
  </si>
  <si>
    <t>O0001/IE06061/F0041/X049/R0105/001/FIN</t>
  </si>
  <si>
    <t>O0001/IE03969/F0041/X049/R0105/001/FIN</t>
  </si>
  <si>
    <t>O0001/IE01530/F0041/X049/R0105/001/FIN</t>
  </si>
  <si>
    <t>O0001/IE00126/F0041/X049/R0105/001/FINA</t>
  </si>
  <si>
    <t>O0001/IE00043/F0041/X049/R0105/001/FINA</t>
  </si>
  <si>
    <t>O0001/IE00038/F0041/X049/R0105/001/FINA</t>
  </si>
  <si>
    <t>O0001/IE06059/F0041/X049/R0105/001/FIN</t>
  </si>
  <si>
    <t>O0001/IE00044/F0041/X049/R0105/001/FINA</t>
  </si>
  <si>
    <t>O0001/IE00036/F0041/X049/R0105/001/FIN</t>
  </si>
  <si>
    <t xml:space="preserve">Employee Related Cost (Bargaining Council (Interns)
</t>
  </si>
  <si>
    <t xml:space="preserve">Employee Related Cost (UIF Interns)
</t>
  </si>
  <si>
    <t xml:space="preserve">Employee Related Cost (Director Finance UIF)
</t>
  </si>
  <si>
    <t xml:space="preserve">Employee Related Cost (Housing Subsidy)
</t>
  </si>
  <si>
    <t xml:space="preserve">Employee Related Cost (UIF)
</t>
  </si>
  <si>
    <t xml:space="preserve">Employee Related Cost (Bargaining Council)
</t>
  </si>
  <si>
    <t xml:space="preserve">Employee Related Cost (Long Term Service Awards)
</t>
  </si>
  <si>
    <t xml:space="preserve">Employee Related Cost (Director finance Performance Bonus)
</t>
  </si>
  <si>
    <t xml:space="preserve">Employee Related Cost (Overtime)
</t>
  </si>
  <si>
    <t xml:space="preserve">Employee Related Cost (Leave Pay)
</t>
  </si>
  <si>
    <t xml:space="preserve">Employee Related Cost (Director finance Motor and Vehicle Allowance)
</t>
  </si>
  <si>
    <t xml:space="preserve">Employee Related Cost (Vehicle Allowance)
</t>
  </si>
  <si>
    <t xml:space="preserve">Employee Related Cost (Medical Aid)
</t>
  </si>
  <si>
    <t>Employee Related Cost (Interns Salaries and Allowances )</t>
  </si>
  <si>
    <t xml:space="preserve">Employee Related Cost (Bonus)
</t>
  </si>
  <si>
    <t xml:space="preserve">Employee Related Cost (Director finance Salaries and Allowances)
</t>
  </si>
  <si>
    <t xml:space="preserve">Employee Related Cost (Provident Fund and Pension - RA)
</t>
  </si>
  <si>
    <t xml:space="preserve">Employee Related Cost (Salaries and Allowances)
</t>
  </si>
  <si>
    <t>O0001/IE00043/F13636/X024/R0105/001/COMM</t>
  </si>
  <si>
    <t>O0001/IE00038/F13636/X024/R0105/001/COMM</t>
  </si>
  <si>
    <t>O0001/IE00044/F13636/X024/R0105/001/COMM</t>
  </si>
  <si>
    <t>O0001/IE00036/F13636/X024/R0105/001/COMM</t>
  </si>
  <si>
    <t>O1224-2/IE00632/F0041/X098/R0106/001/EDP</t>
  </si>
  <si>
    <t>Cooperatives Development (Transport)</t>
  </si>
  <si>
    <t>Indigent Burial (Indigent Burial)</t>
  </si>
  <si>
    <t>Strategic Planning</t>
  </si>
  <si>
    <t>O0001/IE00604/F0041/X049/R0105/001/FIN</t>
  </si>
  <si>
    <t xml:space="preserve">Finance Uniforms </t>
  </si>
  <si>
    <t xml:space="preserve">Employees Related Cost Clothing Allowance </t>
  </si>
  <si>
    <t>O1486-1/IE00636/F0041/X044/R0105/001/EXEC</t>
  </si>
  <si>
    <t>O1234-1/IE00695/F0041/X132/R0106/001/COMM</t>
  </si>
  <si>
    <t>O1565-3/IE00651/F0041/X098/R0106/001/EDP</t>
  </si>
  <si>
    <t>Repairs and Maintenance C Tractor Maintenance)</t>
  </si>
  <si>
    <t>O1249-5/IE00703/F0041/X098/R0106/001/EDP</t>
  </si>
  <si>
    <t>O0001/IE00128/F0041/X045/R0105/001/MMO</t>
  </si>
  <si>
    <t>D0001/IR01040/F0001/X049/R0105/001/FIN</t>
  </si>
  <si>
    <t>O0001/IE07560/F0001/X049/R0106/001/FIN</t>
  </si>
  <si>
    <t>(Surplus)/Deficit</t>
  </si>
  <si>
    <t>2020/2021 Draft Budget</t>
  </si>
  <si>
    <t>2021/2022 Outer Year One</t>
  </si>
  <si>
    <t>2022/2023 Outer Year Two</t>
  </si>
  <si>
    <t>Building Plan Approval</t>
  </si>
  <si>
    <t>FMG</t>
  </si>
  <si>
    <t>Total General Expenditure</t>
  </si>
  <si>
    <t>LOCAL ECONOMIC DEVELOPMENT</t>
  </si>
  <si>
    <t>Branding (bunners and bilboards for mini-factories</t>
  </si>
  <si>
    <t>TOWN PLANNING</t>
  </si>
  <si>
    <t>Grand Total Expenditure (LED)</t>
  </si>
  <si>
    <t>GRAND TOTAL EXPENDITURE (TOWN PLANNING)</t>
  </si>
  <si>
    <t>EDP TOTAL EXPENDITURE</t>
  </si>
  <si>
    <t>GRAND TOTAL EXPENDITURE (LED)</t>
  </si>
  <si>
    <t>LIBRARY</t>
  </si>
  <si>
    <t>GRAND TOTAL EXPENDITURE (LIBRARY)</t>
  </si>
  <si>
    <t>SOCIAL COHESION</t>
  </si>
  <si>
    <t>GRAND TOTAL EXPENDITURE (SOCIAL COHESION)</t>
  </si>
  <si>
    <t>SOLID WASTE REMOVAL</t>
  </si>
  <si>
    <t>GRAND TOTAL EXPENDITURE (SOLID WASTE REMOVAL)</t>
  </si>
  <si>
    <t>COMMUNITY SOCIAL SERVICES</t>
  </si>
  <si>
    <t>Professional Fees (Review Intergrated Waste Management Plan)</t>
  </si>
  <si>
    <t>GRAND TOTAL EXPENDITURE (COMMUNITY SOCIAL SERVICES)</t>
  </si>
  <si>
    <t>TOTAL EXPENDITURE COMMUNITY SERVICES</t>
  </si>
  <si>
    <t>(SUPLUS)/DEFICIT</t>
  </si>
  <si>
    <t>GRAND TOTAL EXPENDITURE (IPD/PMS)</t>
  </si>
  <si>
    <t>PUBLIC PARTICIPATION</t>
  </si>
  <si>
    <t>MUNICIPAL MANAGER'S OFFICE</t>
  </si>
  <si>
    <t>GRAND TOTAL EXPENDITURE (MUNICIPALMANAGER'S OFFICE)</t>
  </si>
  <si>
    <t>GRAND TOTAL EXPENDITURE (PUBLIC PARTICIPATION)</t>
  </si>
  <si>
    <t>PUBLIC WORKS</t>
  </si>
  <si>
    <t>GRAND TOTAL EXPENDITURE (PUBLIC WORKS)</t>
  </si>
  <si>
    <t>PROJECT MANAGEMENT UNIT</t>
  </si>
  <si>
    <t>GRAND TOTAL EXPENDITURE (PMU)</t>
  </si>
  <si>
    <t>Social Cohesion/ Disability Programme</t>
  </si>
  <si>
    <t>Social Cohesion/Senior Citizen  Program</t>
  </si>
  <si>
    <t>Social Cohesion/Senior Citizen (Catering,)</t>
  </si>
  <si>
    <t>Social Cohesion/Senior citizens (Sound System and Stage)</t>
  </si>
  <si>
    <t>Social Cohesion/ Senior Citizens (Tent )</t>
  </si>
  <si>
    <t>Social Cohesion/Senior Citizens (Transport)</t>
  </si>
  <si>
    <t xml:space="preserve">Moral Regeneration Program </t>
  </si>
  <si>
    <t>Civil Society Forums Advisory meeting</t>
  </si>
  <si>
    <t xml:space="preserve">16 Days of Activisim Program </t>
  </si>
  <si>
    <t>GRAND TOTAL EXPENDITURE (FINANCE)</t>
  </si>
  <si>
    <t>Cleaning services (Stock)</t>
  </si>
  <si>
    <t>GRAND TOTAL EXPENDITURE (SCM)</t>
  </si>
  <si>
    <t>GRAND TOTAL EXPENDITURE (EXECUTIVE COUNCIL)</t>
  </si>
  <si>
    <t>HUMAN RESOURCES</t>
  </si>
  <si>
    <t>Hiring of plant and Equipment</t>
  </si>
  <si>
    <t>Service Charges</t>
  </si>
  <si>
    <t>Refuse Collection</t>
  </si>
  <si>
    <t>Total Serives Charges</t>
  </si>
  <si>
    <t>Services Charges</t>
  </si>
  <si>
    <t xml:space="preserve">Subsistence &amp; Travelling Allowance </t>
  </si>
  <si>
    <t>Total Transfer and Subsidies</t>
  </si>
  <si>
    <t>GRAND TOTAL EXPENDITURE (HUMAN RESOURCES)</t>
  </si>
  <si>
    <t>INFORMATION TECHNOLOGY</t>
  </si>
  <si>
    <t>ADMINISTRATION</t>
  </si>
  <si>
    <t>GRAND TOTAL EXPENDITURE (IT)</t>
  </si>
  <si>
    <t>Professional Fees ( layout for reception revamp)</t>
  </si>
  <si>
    <t>Professional Fees ( layout for mun building branding)</t>
  </si>
  <si>
    <t>GRAND TOTAL EXPENDITURE (ADMINISTRATION)</t>
  </si>
  <si>
    <t>LEGAL SERVICES</t>
  </si>
  <si>
    <t>TOTAL EXPENDITURE CORPORATE SERVICES</t>
  </si>
  <si>
    <t>TOTAL EXPENDITURE (BUDGET AND TREASURY OFFICE)</t>
  </si>
  <si>
    <t xml:space="preserve">Ndwedwe Youth Run Series </t>
  </si>
  <si>
    <t>Ndwedwe Indegenous Games Local Selections</t>
  </si>
  <si>
    <t xml:space="preserve">Ilembe District Indegenous Games Competition </t>
  </si>
  <si>
    <t>Provincial Indegenous Games Competition</t>
  </si>
  <si>
    <t>Provincial IGs Competition (Transport)</t>
  </si>
  <si>
    <t xml:space="preserve">National Indegenous Games Competition </t>
  </si>
  <si>
    <t>Dundee July 2020</t>
  </si>
  <si>
    <t>Nkandla May</t>
  </si>
  <si>
    <t xml:space="preserve">Harry Gwala Summer Cup Horse Racing </t>
  </si>
  <si>
    <t>Ndwedwe Golden Games / Senior Citezens Local Selections</t>
  </si>
  <si>
    <t>Ndwedwe GG / SC Local Selections (Catering)</t>
  </si>
  <si>
    <t>Ndwedwe GG / SC Local Selections (Sound)</t>
  </si>
  <si>
    <t>Ndwedwe GG / SC Local Selections (Transport)</t>
  </si>
  <si>
    <t>Ndwedwe GG / SC Local Selections (Mobile Ambulance)</t>
  </si>
  <si>
    <t>Ndwedwe GG / SC Local Selections (Tent and Toilets)</t>
  </si>
  <si>
    <t>Ilembe District Golden Games Selections</t>
  </si>
  <si>
    <t>Provincial Golden Games Competitions</t>
  </si>
  <si>
    <t>National Golden Games Competitions</t>
  </si>
  <si>
    <t>National GG (Petty Cash for Refreshments)</t>
  </si>
  <si>
    <t>Ndwedwe Disability Games Local Competition</t>
  </si>
  <si>
    <t>NDW Dis Games (Catering)</t>
  </si>
  <si>
    <t>NDW Dis Games (Transport)</t>
  </si>
  <si>
    <t>NDW Dis Games (Sound System)</t>
  </si>
  <si>
    <t>NDW Dis Games (Mobile Ambulance)</t>
  </si>
  <si>
    <t xml:space="preserve">Ilembe District Disability Games Competition </t>
  </si>
  <si>
    <t>Ilembe Disability (Sport Apparel)</t>
  </si>
  <si>
    <t xml:space="preserve">Provincial Disability Games </t>
  </si>
  <si>
    <t>Prov Disability Games (Transport)</t>
  </si>
  <si>
    <t xml:space="preserve">Ndwedwe Aerobics Marathon </t>
  </si>
  <si>
    <t xml:space="preserve">School Sport Competition </t>
  </si>
  <si>
    <t xml:space="preserve">Sport Training Equipment </t>
  </si>
  <si>
    <t>KZN SALGA DSR GAMES 2020 / 2021</t>
  </si>
  <si>
    <t xml:space="preserve">Ndwedwe WARD SALGA GAMES </t>
  </si>
  <si>
    <t>Ndwedwe Inter-Wards (Transport)</t>
  </si>
  <si>
    <t>Ndwedwe Inter-Wards (Refreshments)</t>
  </si>
  <si>
    <t>Ndwedwe Inter-Zonal Games (Transport)</t>
  </si>
  <si>
    <t>Ndwedwe Inter-Zonal Games (Tent and Mobile Toilets)</t>
  </si>
  <si>
    <t>Ndwedwe Inter-Zonal Games (Catering)</t>
  </si>
  <si>
    <t>Ndwedwe Inter-Zonal Games (Sound System)</t>
  </si>
  <si>
    <t>Ndwedwe Inter-Zonal Games (Ambulance)</t>
  </si>
  <si>
    <t>Ndwedwe Inter-Zonal Games (Prizes / Gifts)</t>
  </si>
  <si>
    <t>Ilembe District Inter-Municipal SALGA DRS Games (Transport)</t>
  </si>
  <si>
    <t>Ilembe District Inter-Municipal SALGA DRS Games (Refreshments)</t>
  </si>
  <si>
    <t>Ndwedwe Mayoral Cup Competition</t>
  </si>
  <si>
    <t>Training, Workshops, Seminars and Conferences</t>
  </si>
  <si>
    <t>Capacity Building Workshops (Transport)</t>
  </si>
  <si>
    <t>Capacity Building Workshops (Refreshments)</t>
  </si>
  <si>
    <t>Capacity Building Workshop (Facilitator / Service Provider</t>
  </si>
  <si>
    <t xml:space="preserve">Youth Development </t>
  </si>
  <si>
    <t>Job Readiness (Catering)</t>
  </si>
  <si>
    <t>Job Readiness (Sound and Stage)</t>
  </si>
  <si>
    <t>Job Readiness (Transport)</t>
  </si>
  <si>
    <t>Youth SMME Seminar (Catering)</t>
  </si>
  <si>
    <t>Youth SMME Seminar (Sound and Stage)</t>
  </si>
  <si>
    <t>Youth SMME Seminar (Transport)</t>
  </si>
  <si>
    <t>Youth SMME Support (Equipment and Mechanisation)</t>
  </si>
  <si>
    <t>Youth IDP (Catering)</t>
  </si>
  <si>
    <t>Youth IDP (Entertainment)</t>
  </si>
  <si>
    <t>Youth IDP (Sound and Stage)</t>
  </si>
  <si>
    <t>Youth IDP (Transport)</t>
  </si>
  <si>
    <t>Exam Prayer, Life Coaching and Motivations (Catering)</t>
  </si>
  <si>
    <t>Exam Prayer, Life Coaching and Motivations (Transport)</t>
  </si>
  <si>
    <t xml:space="preserve">Exam Prayer, Life Coaching and Motivations (Entertainment) </t>
  </si>
  <si>
    <t>Exam Prayer, Life Coaching and Motivations (Sound and Stage)</t>
  </si>
  <si>
    <t>Youth Summit (Catering)</t>
  </si>
  <si>
    <t>Youth Summit (Transport)</t>
  </si>
  <si>
    <t>Youth Summit (Sound and Stage)</t>
  </si>
  <si>
    <t>Youth Summit (Venue Hire)</t>
  </si>
  <si>
    <t xml:space="preserve">Online CAO NSFAS Applications (Catering) </t>
  </si>
  <si>
    <t xml:space="preserve">Online CAO NSFAS Applications (Data and WiFi) </t>
  </si>
  <si>
    <t xml:space="preserve">Top Achievers Awards Ceremony (Catering) </t>
  </si>
  <si>
    <t xml:space="preserve">Top Achievers Awards Ceremony (Transport) </t>
  </si>
  <si>
    <t>Top Achievers Awards Ceremony (Sound and Stage)</t>
  </si>
  <si>
    <t>Top Achievers Awards Ceremony (Gifts and Promotional Items)</t>
  </si>
  <si>
    <t>Junior Council Launch (Catering)</t>
  </si>
  <si>
    <t>Junior Council Launch (Sound and Stage)</t>
  </si>
  <si>
    <t xml:space="preserve">Junior Council Launch (Transport) </t>
  </si>
  <si>
    <t>Youth Revolutionary Programmes (Catering)</t>
  </si>
  <si>
    <t>Youth Revolutionary Programmes (Transport)</t>
  </si>
  <si>
    <t>Youth Revolutionary Programmes (Sound, Tent and Stage)</t>
  </si>
  <si>
    <t xml:space="preserve">Career Guidance and Career Expo </t>
  </si>
  <si>
    <t>Miss Heritage (Catering)</t>
  </si>
  <si>
    <t>Miss Heritage (Entertainment and Facilitators)</t>
  </si>
  <si>
    <t>Faith based Youth Forum  (Catering)</t>
  </si>
  <si>
    <t>Faith based Youth Forum (Transport)</t>
  </si>
  <si>
    <t>Faith based Youth Forum (Sound and Stage)</t>
  </si>
  <si>
    <t>Young Local Artists Support and Workshop (Catering)</t>
  </si>
  <si>
    <t>Young Local Artists Support and Workshop (Transport)</t>
  </si>
  <si>
    <t>Young Local Artists Support and Workshop (Sound and Stage)</t>
  </si>
  <si>
    <t>Ndwedwe Boys Camp</t>
  </si>
  <si>
    <t>Cellphones Charges (Cellphones Charges)</t>
  </si>
  <si>
    <t>O0001/IE00602/F0041/X046/R0105/001/CORP</t>
  </si>
  <si>
    <t>Toll Gate Fees</t>
  </si>
  <si>
    <t>Membership Fees (Membership Fees) SALGA</t>
  </si>
  <si>
    <t>Insurance WCA (Insurance WCA)</t>
  </si>
  <si>
    <t>GRAND TOTAL EXPENDITURE (SPORT AND RECREATION)</t>
  </si>
  <si>
    <t>YOUTH DEVELOPMENT</t>
  </si>
  <si>
    <t>GRAND TOTAL EXPENDITURE (YOUTH DEVELOPMENT)</t>
  </si>
  <si>
    <t>Speaker Imbizo</t>
  </si>
  <si>
    <t>O1240-3/IE00677/F0041/X045/R0106/001/MMO</t>
  </si>
  <si>
    <t>Speaker Imbizo (Catering)</t>
  </si>
  <si>
    <t>O1240-4/IE00667/F0041/X045/R0106/001/MMO</t>
  </si>
  <si>
    <t>Speaker Imbizo (Sound System)</t>
  </si>
  <si>
    <t>O1240-6/IE00626/F0041/X045/R0106/001/MMO</t>
  </si>
  <si>
    <t>Speaker Imbizo (Entertainment)</t>
  </si>
  <si>
    <t>O1240-4/IE00571/F0041/X045/R0106/001/MMO</t>
  </si>
  <si>
    <t>Speaker Imbizo (Tent Hire)</t>
  </si>
  <si>
    <t>O1240-4/IE00703/F0041/X045/R0106/001/MMO</t>
  </si>
  <si>
    <t>Speaker Imbizo (Transport)</t>
  </si>
  <si>
    <t>O1240-4/IE00754/F0041/X045/R0106/001/MMO</t>
  </si>
  <si>
    <t xml:space="preserve">Speaker Imbizo (Promotional Materials) </t>
  </si>
  <si>
    <t>TOTAL EXPENDITURE (MUNICIPAL MANAGER)</t>
  </si>
  <si>
    <t>Thumamina Project</t>
  </si>
  <si>
    <t>O1234-3/IE00604/F0041/X045/R0106/001/MMO</t>
  </si>
  <si>
    <t>Thumamina (Protective Clothing Apparel)</t>
  </si>
  <si>
    <t>O1234-3/IE00677/F0041/X045/R0106/001/MMO</t>
  </si>
  <si>
    <t>Thumamina (Catering)</t>
  </si>
  <si>
    <t>O1234-3/IE00754/F0041/X045/R0106/001/MMO</t>
  </si>
  <si>
    <t>Thumamina (Promotional Materials)</t>
  </si>
  <si>
    <t xml:space="preserve">Communication </t>
  </si>
  <si>
    <t>O1238-1/IE00772/F0041/X045/R0105/001/MMO</t>
  </si>
  <si>
    <t>Communication (Mayor slot (Publicity)</t>
  </si>
  <si>
    <t>O1239-1/IE00755/F0041/X045/R0106/001/MMO</t>
  </si>
  <si>
    <t>Communication (Municipal Newsletters)</t>
  </si>
  <si>
    <t>O1239-1/IE00772/F0041/X045/R0106/001/MMO</t>
  </si>
  <si>
    <t>Communication (Radio and TV Transmissions)</t>
  </si>
  <si>
    <t>O1238-4/IE00677/F0041/X045/R0105/001/MMO</t>
  </si>
  <si>
    <t>Catering - Tour and Briefings</t>
  </si>
  <si>
    <t>Disaster Management  ( Emergency Relief )</t>
  </si>
  <si>
    <t xml:space="preserve">DISASTER MANAGEMENT  </t>
  </si>
  <si>
    <t>Software licence</t>
  </si>
  <si>
    <t>Technical Uniform</t>
  </si>
  <si>
    <t>GRAND TOTAL EXPENDITURE (LEGAL SERVICES)</t>
  </si>
  <si>
    <t>TOTAL EXPENDITURE (TECHNICAL SERVICES)</t>
  </si>
  <si>
    <t xml:space="preserve">Graphic Design, Video and Theme Banners </t>
  </si>
  <si>
    <t>SUPPLY CHAIN MANAGEMENT (X58)</t>
  </si>
  <si>
    <t>IDP AND PMS X096)</t>
  </si>
  <si>
    <t>O1236-2/IE00677/F0041/X096/R0106/001/MMO</t>
  </si>
  <si>
    <t>O1236-2/IE00626/F0041/X096/R0106/001/MMO</t>
  </si>
  <si>
    <t>O1236-2/IE00628/F0041/X096/R0106/001/MMO</t>
  </si>
  <si>
    <t>O1236-2/IE00571/F0041/X096/R0106/001/MMO</t>
  </si>
  <si>
    <t>O1236-2/IE00703/F0041/X096/R0106/001/MMO</t>
  </si>
  <si>
    <t>O0001/IE00583/F0041/X096/R0105/001/MMO</t>
  </si>
  <si>
    <t>O0001/IE00584/F0041/X096/R0105/001/MMO</t>
  </si>
  <si>
    <t>O0001/IE00583/F0041/X096/R0106/001/MMO</t>
  </si>
  <si>
    <t>Ndwedwe Youth Run Series (Refreshment)</t>
  </si>
  <si>
    <t>Ndwedwe Youth Run Series (Transport)</t>
  </si>
  <si>
    <t>Ndwedwe Youth Run Series (Tent, Toilets and Sound)</t>
  </si>
  <si>
    <t>O1333-4/IE00677/F0041/X125/R0106/001/MMO</t>
  </si>
  <si>
    <t>SPORT AND RECREATION (X125)</t>
  </si>
  <si>
    <t>O1333-4/IE00703/F0041/X125/R0106/001/MMO</t>
  </si>
  <si>
    <t>O1333-4/IE00571/F0041/X125/R0106/001/MMO</t>
  </si>
  <si>
    <t>Ndwedwe IGs Local Selections (Refreshments)</t>
  </si>
  <si>
    <t>Ndwedwe IGs Local Selections (Tent, Chairs and Toilets)</t>
  </si>
  <si>
    <t>Ndwedwe IGs Local Selections (Transport)</t>
  </si>
  <si>
    <t>Ndwedwe IGs Local Selections (Sound System)</t>
  </si>
  <si>
    <t>Ndwedwe IGs Local Selections (Mobile Ambulance)</t>
  </si>
  <si>
    <t>O1333-5/IE00677/F0041/X125/R0106/001/MMO</t>
  </si>
  <si>
    <t>O1333-5/IE00703/F0041/X125/R0106/001/MMO</t>
  </si>
  <si>
    <t>O1333-5/IE00667/F0041/X125/R0106/001/MMO</t>
  </si>
  <si>
    <t>O1333-5/IE00653/F0041/X125/R0106/001/MMO</t>
  </si>
  <si>
    <t>Ilember District IGs (Transport)</t>
  </si>
  <si>
    <t>Ilembe District IGs (Apparel)</t>
  </si>
  <si>
    <t>O1333-6/IE00754/F0041/X125/R0106/001/MMO</t>
  </si>
  <si>
    <t>O1333-7/IE00703/F0041/X125/R0106/001/MMO</t>
  </si>
  <si>
    <t>Provincial IGs Competition (Accommodation)</t>
  </si>
  <si>
    <t>O1333-7/IE00060/F0041/X125/R0106/001/MMO</t>
  </si>
  <si>
    <t>National IGs Competition Flights and Car hire</t>
  </si>
  <si>
    <t>O1333-8/IE00060/F0041/X125/R0106/001/MMO</t>
  </si>
  <si>
    <t>National IGs Competition Accommodation</t>
  </si>
  <si>
    <t>O1333-8/IE01581/F0041/X125/R0106/001/MMO</t>
  </si>
  <si>
    <t>O1333-8/IE00677/F0041/X125/R0106/001/MMO</t>
  </si>
  <si>
    <t xml:space="preserve">National IGs Competition Petty Cash for Refreshments </t>
  </si>
  <si>
    <t xml:space="preserve">Dundee July Horses Transportation from Wards to NDW Central </t>
  </si>
  <si>
    <t xml:space="preserve">Dundee July Accomodation </t>
  </si>
  <si>
    <t>O1333-9/IE00703/F0041/X125/R0106/001/MMO</t>
  </si>
  <si>
    <t>O1333-9/IE00060/F0041/X125/R0106/001/MMO</t>
  </si>
  <si>
    <t xml:space="preserve">Nkandla May Accommodation </t>
  </si>
  <si>
    <t>O1333-10/IE00060/F0041/X125/R0106/001/MMO</t>
  </si>
  <si>
    <t xml:space="preserve">Harry Gwala Summer Cup Horses Racing Accommodation </t>
  </si>
  <si>
    <t>O1333-11/IE00060/F0041/X125/R0106/001/MMO</t>
  </si>
  <si>
    <t>O1333-12/IE00677/F0041/X125/R0106/001/MMO</t>
  </si>
  <si>
    <t>O1333-12/IE00667/F0041/X125/R0106/001/MMO</t>
  </si>
  <si>
    <t>O1333-12/IE00703/F0041/X125/R0106/001/MMO</t>
  </si>
  <si>
    <t>O1333-12/IE00653/F0041/X125/R0106/001/MMO</t>
  </si>
  <si>
    <t>O1333-12/IE00571/F0041/X125/R0106/001/MMO</t>
  </si>
  <si>
    <t>O1333-13/IE00703/F0041/X125/R0106/001/MMO</t>
  </si>
  <si>
    <t>Ilembe Dis GG Selection (Transport)</t>
  </si>
  <si>
    <t>Ilembe Dis GG Selection (Apparel / Attire)</t>
  </si>
  <si>
    <t>O1333-13/IE00754/F0041/X125/R0106/001/MMO</t>
  </si>
  <si>
    <t>Provincial GG Selection (Transport)</t>
  </si>
  <si>
    <t>Provincial GG Selection (Accomodation)</t>
  </si>
  <si>
    <t>O1333-14/IE00703/F0041/X125/R0106/001/MMO</t>
  </si>
  <si>
    <t>O1333-14/IE00060/F0041/X125/R0106/001/MMO</t>
  </si>
  <si>
    <t>National GG Flights and Car Hire</t>
  </si>
  <si>
    <t>National GG (Accomodation)</t>
  </si>
  <si>
    <t>O1333-15/IE00060/F0041/X125/R0106/001/MMO</t>
  </si>
  <si>
    <t>O1333-15/IE01581/F0041/X125/R0106/001/MMO</t>
  </si>
  <si>
    <t>O1333-15/IE00677/F0041/X125/R0106/001/MMO</t>
  </si>
  <si>
    <t>O1333-16/IE00677/F0041/X125/R0106/001/MMO</t>
  </si>
  <si>
    <t>O1333-16/IE00703/F0041/X125/R0106/001/MMO</t>
  </si>
  <si>
    <t>O1333-16/IE00667/F0041/X125/R0106/001/MMO</t>
  </si>
  <si>
    <t>O1333-16/IE00653/F0041/X125/R0106/001/MMO</t>
  </si>
  <si>
    <t xml:space="preserve">Young Local Artists Support and Workshop </t>
  </si>
  <si>
    <t xml:space="preserve">Faith based Youth Forum  </t>
  </si>
  <si>
    <t xml:space="preserve">Miss Heritage </t>
  </si>
  <si>
    <t>Youth Revolutionary Programmes</t>
  </si>
  <si>
    <t>Junior Council Launch</t>
  </si>
  <si>
    <t xml:space="preserve">Top Achievers Awards Ceremony </t>
  </si>
  <si>
    <t>Online CAO NSFAS Applications</t>
  </si>
  <si>
    <t>Youth Summit</t>
  </si>
  <si>
    <t>Exam Prayer, Life Coaching and Motivations</t>
  </si>
  <si>
    <t>Youth IDP</t>
  </si>
  <si>
    <t>Youth SMME Seminar</t>
  </si>
  <si>
    <t>Ilember Disability (Transport)</t>
  </si>
  <si>
    <t>O1333-17/IE00703/F0041/X125/R0106/001/MMO</t>
  </si>
  <si>
    <t>O1333-17/IE00754/F0041/X125/R0106/001/MMO</t>
  </si>
  <si>
    <t>O1333-18/IE00703/F0041/X125/R0106/001/MMO</t>
  </si>
  <si>
    <t>O1333-18/IE00060/F0041/X125/R0106/001/MMO</t>
  </si>
  <si>
    <t>Prov Disability Games (Accommodation)</t>
  </si>
  <si>
    <t>Ndwedwe Aerobics Marathon (Sound and Stage)</t>
  </si>
  <si>
    <t xml:space="preserve">Ndwedwe Aerobics Marathon (Refreshments) </t>
  </si>
  <si>
    <t>O1333-19/IE00677/F0041/X125/R0106/001/MMO</t>
  </si>
  <si>
    <t>O1333-19/IE00667/F0041/X125/R0106/001/MMO</t>
  </si>
  <si>
    <t>School Sport Competition Prizes</t>
  </si>
  <si>
    <t>O1333-20/IE00754/F0041/X125/R0106/001/MMO</t>
  </si>
  <si>
    <t xml:space="preserve">Ndwedwe Inter-Zonal Games </t>
  </si>
  <si>
    <t>Ndwedwe Ward Salga Games Soccer Kits, Netball Kits, Trophies For Netball, Soccer Balls, Netball Balls, Gold, Silver and Bronze Medals</t>
  </si>
  <si>
    <t>O1333-21/IE00754/F0041/X125/R0106/001/MMO</t>
  </si>
  <si>
    <t>O1333-22/IE00677/F0041/X125/R0106/001/MMO</t>
  </si>
  <si>
    <t>O1333-22/IE00703/F0041/X125/R0106/001/MMO</t>
  </si>
  <si>
    <t>O1333-22/IE00754/F0041/X125/R0106/001/MMO</t>
  </si>
  <si>
    <t>O1333-23/IE00677/F0041/X125/R0106/001/MMO</t>
  </si>
  <si>
    <t>O1333-23/IE00703/F0041/X125/R0106/001/MMO</t>
  </si>
  <si>
    <t>O1333-23/IE00571/F0041/X125/R0106/001/MMO</t>
  </si>
  <si>
    <t>O1333-23/IE00667/F0041/X125/R0106/001/MMO</t>
  </si>
  <si>
    <t>O1333-23/IE00653/F0041/X125/R0106/001/MMO</t>
  </si>
  <si>
    <t>O1333-23/IE00754/F0041/X125/R0106/001/MMO</t>
  </si>
  <si>
    <t>Ilember District  inter-Municipal SALGA DRS Games (Tracksuits for participants and Cllrs</t>
  </si>
  <si>
    <t xml:space="preserve">Ilembe District Inter-Municipal SALGA DRS Games </t>
  </si>
  <si>
    <t>O1333-24/IE00754/F0041/X125/R0106/001/MMO</t>
  </si>
  <si>
    <t>O1333-24/IE00703/F0041/X125/R0106/001/MMO</t>
  </si>
  <si>
    <t>O1333-24/IE00677/F0041/X125/R0106/001/MMO</t>
  </si>
  <si>
    <t xml:space="preserve">Ndwedwe Mayoral Cup Competition Transport </t>
  </si>
  <si>
    <t xml:space="preserve">Ndwedwe Mayoral Cup Competition Catering </t>
  </si>
  <si>
    <t xml:space="preserve">Ndwedwe Mayoral Cup Competition Sound System </t>
  </si>
  <si>
    <t>Ndwedwe Mayoral Cup Competition Mobile Ambulance</t>
  </si>
  <si>
    <t xml:space="preserve">Ndwedwe Mayoral Cup Competition Entertainment and Artists </t>
  </si>
  <si>
    <t xml:space="preserve">Ndwedwe Mayoral Cup Competition Apparel for Cllrs and Officials </t>
  </si>
  <si>
    <t xml:space="preserve">Ndwedwe Mayoral Cup Competition Media Coverage </t>
  </si>
  <si>
    <t>O1333-25/IE00677/F0041/X125/R0106/001/MMO</t>
  </si>
  <si>
    <t>Ndwedwe Mayoral Cup Competition Tent and Boxing Ring</t>
  </si>
  <si>
    <t>O1333-25/IE00703/F0041/X125/R0106/001/MMO</t>
  </si>
  <si>
    <t>O1333-25/IE00667/F0041/X125/R0106/001/MMO</t>
  </si>
  <si>
    <t>O1333-25/IE00653/F0041/X125/R0106/001/MMO</t>
  </si>
  <si>
    <t>O1333-25/IE00626/F0041/X125/R0106/001/MMO</t>
  </si>
  <si>
    <t>O1333-25/IE00754/F0041/X125/R0106/001/MMO</t>
  </si>
  <si>
    <t>O1333-25/IE00772/F0041/X125/R0106/001/MMO</t>
  </si>
  <si>
    <t>O1333-26/IE00703/F0041/X125/R0106/001/MMO</t>
  </si>
  <si>
    <t>O1333-26/IE00677/F0041/X125/R0106/001/MMO</t>
  </si>
  <si>
    <t>O1333-26/IE00847/F0041/X125/R0106/001/MMO</t>
  </si>
  <si>
    <t xml:space="preserve">Capacity Building Workshop (Accommodation) </t>
  </si>
  <si>
    <t>O1333-26/IE00060/F0041/X125/R0106/001/MMO</t>
  </si>
  <si>
    <t>O1444-4/IE00677/F0041/X045/R0106/001/MMO</t>
  </si>
  <si>
    <t>O1444-4/IE00667/F0041/X045/R0106/001/MMO</t>
  </si>
  <si>
    <t>O1444-4/IE00703/F0041/X045/R0106/001/MMO</t>
  </si>
  <si>
    <t>O1444-5/IE00677/F0041/X045/R0106/001/MMO</t>
  </si>
  <si>
    <t>O1444-5/IE00667/F0041/X045/R0106/001/MMO</t>
  </si>
  <si>
    <t>O1444-5/IE00703/F0041/X045/R0106/001/MMO</t>
  </si>
  <si>
    <t>O1444-5/IE00754/F0041/X045/R0106/001/MMO</t>
  </si>
  <si>
    <t>O1444-6/IE00677/F0041/X045/R0106/001/MMO</t>
  </si>
  <si>
    <t>O1444-6/IE00667/F0041/X045/R0106/001/MMO</t>
  </si>
  <si>
    <t>O1444-6/IE00703/F0041/X045/R0106/001/MMO</t>
  </si>
  <si>
    <t>O1444-7/IE00677/F0041/X045/R0106/001/MMO</t>
  </si>
  <si>
    <t>O1444-7/IE00703/F0041/X045/R0106/001/MMO</t>
  </si>
  <si>
    <t>O1444-7/IE00626/F0041/X045/R0106/001/MMO</t>
  </si>
  <si>
    <t>O1444-7/IE00667/F0041/X045/R0106/001/MMO</t>
  </si>
  <si>
    <t>O1444-8/IE00677/F0041/X045/R0106/001/MMO</t>
  </si>
  <si>
    <t>O1444-8/IE00703/F0041/X045/R0106/001/MMO</t>
  </si>
  <si>
    <t>O1444-8/IE00667/F0041/X045/R0106/001/MMO</t>
  </si>
  <si>
    <t>O1444-9/IE00677/F0041/X045/R0106/001/MMO</t>
  </si>
  <si>
    <t>O1444-9/IE00787/F0041/X045/R0106/001/MMO</t>
  </si>
  <si>
    <t>O1444-10/IE00677/F0041/X045/R0106/001/MMO</t>
  </si>
  <si>
    <t>O1444-10/IE00703/F0041/X045/R0106/001/MMO</t>
  </si>
  <si>
    <t>O1444-10/IE00754/F0041/X045/R0106/001/MMO</t>
  </si>
  <si>
    <t>O1444-11/IE00677/F0041/X045/R0106/001/MMO</t>
  </si>
  <si>
    <t>O1444-11/IE00667/F0041/X045/R0106/001/MMO</t>
  </si>
  <si>
    <t>O1444-11/IE00703/F0041/X045/R0106/001/MMO</t>
  </si>
  <si>
    <t>O1444-12/IE00677/F0041/X045/R0106/001/MMO</t>
  </si>
  <si>
    <t>O1444-12/IE00703/F0041/X045/R0106/001/MMO</t>
  </si>
  <si>
    <t>O1444-12/IE00667/F0041/X045/R0106/001/MMO</t>
  </si>
  <si>
    <t>O1444-12/IE00680/F0041/X045/R0106/001/MMO</t>
  </si>
  <si>
    <t>O1444-13/IE00677/F0041/X045/R0106/001/MMO</t>
  </si>
  <si>
    <t>Career Guidance and Career Expo (Catering)</t>
  </si>
  <si>
    <t>Career Guidance and Career Expo (Transport)</t>
  </si>
  <si>
    <t xml:space="preserve">Careers Giudance and Career Expo (Sound, Tent and Stage) </t>
  </si>
  <si>
    <t>O1444-13/IE00703/F0041/X045/R0106/001/MMO</t>
  </si>
  <si>
    <t>O1444-13/IE00667/F0041/X045/R0106/001/MMO</t>
  </si>
  <si>
    <t>Miss Heritage (Gifts Promotional Items)</t>
  </si>
  <si>
    <t>Miss Heritage (Sound and Stage)</t>
  </si>
  <si>
    <t>O1444-14/IE00677/F0041/X045/R0106/001/MMO</t>
  </si>
  <si>
    <t>O1444-14/IE00667/F0041/X045/R0106/001/MMO</t>
  </si>
  <si>
    <t>O1444-14/IE00754/F0041/X045/R0106/001/MMO</t>
  </si>
  <si>
    <t>O1444-14/IE00626/F0041/X045/R0106/001/MMO</t>
  </si>
  <si>
    <t>O1444-15/IE00677/F0041/X045/R0106/001/MMO</t>
  </si>
  <si>
    <t>O1444-15/IE00703/F0041/X045/R0106/001/MMO</t>
  </si>
  <si>
    <t>O1444-15/IE00667/F0041/X045/R0106/001/MMO</t>
  </si>
  <si>
    <t>O1444-16/IE00677/F0041/X045/R0106/001/MMO</t>
  </si>
  <si>
    <t>O1444-16/IE00703/F0041/X045/R0106/001/MMO</t>
  </si>
  <si>
    <t>O1444-16/IE00667/F0041/X045/R0106/001/MMO</t>
  </si>
  <si>
    <t>O1444-17/IE00677/F0041/X045/R0106/001/MMO</t>
  </si>
  <si>
    <t>Ndwedwe Boys Camp (Venue booking)</t>
  </si>
  <si>
    <t>Ndwedwe Boys Camp (Catering)</t>
  </si>
  <si>
    <t>Ndwedwe Boys Camp (Transport)</t>
  </si>
  <si>
    <t>Ndwedwe Boys Camp (Sound and Stage)</t>
  </si>
  <si>
    <t>Ndwedwe Boys Camp (Facilitators and Life Coaches)</t>
  </si>
  <si>
    <t>O1444-17/IE00703/F0041/X045/R0106/001/MMO</t>
  </si>
  <si>
    <t>O1444-17/IE00847/F0041/X045/R0106/001/MMO</t>
  </si>
  <si>
    <t>O1444-17/IE00667/F0041/X045/R0106/001/MMO</t>
  </si>
  <si>
    <t>O1444-17/IE00571/F0041/X045/R0106/001/MMO</t>
  </si>
  <si>
    <t>Isicathamiya (Gift and promotional Items)</t>
  </si>
  <si>
    <t>Seating Allowance for Traditional Leaders</t>
  </si>
  <si>
    <t>O0001/IE00592/F0041/X045/R0105/001/MMO</t>
  </si>
  <si>
    <t>Ward Committees (Diaries)</t>
  </si>
  <si>
    <t>O1358-3/IE00754/F0041/X045/R0106/001/MMO</t>
  </si>
  <si>
    <t>O1308-2/IE00754/F0041/X045/R0106/001/MMO</t>
  </si>
  <si>
    <t xml:space="preserve">Thumamina (Cleaning services) </t>
  </si>
  <si>
    <t>O1234-4/IE00534/F0041/X045/R0105/001/MMO</t>
  </si>
  <si>
    <t>O1235-5/IE00656/F0041/X045/R0105/001/MMO</t>
  </si>
  <si>
    <t>O1265-2/IE01321/F0041/X019/R0106/001/COMM</t>
  </si>
  <si>
    <t>Social Cohesion /Gender(Catering)</t>
  </si>
  <si>
    <t>Social Cohesion /Gender 	(Gift / promotional material)</t>
  </si>
  <si>
    <t>Social Cohesion /Gender 	(Tent )</t>
  </si>
  <si>
    <t>O1252-3/IE00677/F0041/X008/R0106/001/COMM</t>
  </si>
  <si>
    <t>Library Books</t>
  </si>
  <si>
    <t>O1252-3/IE00703/F0041/X008/R0106/001/COMM</t>
  </si>
  <si>
    <t>Social Cohesion /Gender (Transport)</t>
  </si>
  <si>
    <t>O1252-3/IE00667/F0041/X008/R0106/001/COMM</t>
  </si>
  <si>
    <t>Social Cohesion /Gender 	(Sound System and Stag)</t>
  </si>
  <si>
    <t>O1252-3/IE00754/F0041/X008/R0106/001/COMM</t>
  </si>
  <si>
    <t>O1252-3/IE00571/F0041/X008/R0106/001/COMM</t>
  </si>
  <si>
    <t xml:space="preserve">Social Cohesion/ Disability (Gift and Promotional Items) </t>
  </si>
  <si>
    <t>O1245-3/IE00677/F0041/X008/R0106/001/COMM</t>
  </si>
  <si>
    <t>O1245-3/IE00703/F0041/X008/R0106/001/COMM</t>
  </si>
  <si>
    <t>O1245-3/IE00847/F0041/X008/R0106/001/COMM</t>
  </si>
  <si>
    <t>O1245-3/IE00667/F0041/X008/R0106/001/COMM</t>
  </si>
  <si>
    <t>O1245-3/IE00754/F0041/X008/R0106/001/COMM</t>
  </si>
  <si>
    <t>O1242-4/IE00677/F0041/X008/R0106/001/COMM</t>
  </si>
  <si>
    <t>O1242-4/IE00703/F0041/X008/R0106/001/COMM</t>
  </si>
  <si>
    <t>O1242-4/IE00667/F0041/X008/R0106/001/COMM</t>
  </si>
  <si>
    <t>O1242-4/IE00604/F0041/X008/R0106/001/COMM</t>
  </si>
  <si>
    <t>O1242-4/IE00571/F0041/X008/R0106/001/COMM</t>
  </si>
  <si>
    <t xml:space="preserve">Social Cohesion/ Ingoma (Gift and Promotional Items) </t>
  </si>
  <si>
    <t>Social Cohesion/Orphans and Farm workers (Gift and Promotional material)</t>
  </si>
  <si>
    <t>O1308-3/IE00677/F0041/X008/R0106/001/COMM</t>
  </si>
  <si>
    <t>O1308-3/IE00703/F0041/X008/R0106/001/COMM</t>
  </si>
  <si>
    <t>O1308-3/IE00667/F0041/X008/R0106/001/COMM</t>
  </si>
  <si>
    <t>O1308-3/IE00754/F0041/X008/R0106/001/COMM</t>
  </si>
  <si>
    <t>O1308-3/IE00571/F0041/X008/R0106/001/COMM</t>
  </si>
  <si>
    <t>O1217-6/IE00677/F0041/X008/R0106/001/COMM</t>
  </si>
  <si>
    <t>O1217-6/IE00703/F0041/X008/R0106/001/COMM</t>
  </si>
  <si>
    <t>O1217-6/IE00667/F0041/X008/R0106/001/COMM</t>
  </si>
  <si>
    <t>O1217-6/IE00754/F0041/X008/R0106/001/COMM</t>
  </si>
  <si>
    <t>O1217-6/IE00571/F0041/X008/R0106/001/COMM</t>
  </si>
  <si>
    <t>O1248-1/IE00677/F0041/X008/R0106/001/COMM</t>
  </si>
  <si>
    <t>O1248-1/IE00703/F0041/X008/R0106/001/COMM</t>
  </si>
  <si>
    <t>O1248-1/IE00667/F0041/X008/R0106/001/COMM</t>
  </si>
  <si>
    <t>O1248-1/IE00754/F0041/X008/R0106/001/COMM</t>
  </si>
  <si>
    <t>Social Cohesion/Senior Citizens(Gifts and Promotional Items)</t>
  </si>
  <si>
    <t>O1248-1/IE00571/F0041/X008/R0106/001/COMM</t>
  </si>
  <si>
    <t>O1308-4/IE00677/F0041/X008/R0106/001/COMM</t>
  </si>
  <si>
    <t>O1308-4/IE00703/F0041/X008/R0106/001/COMM</t>
  </si>
  <si>
    <t>O1308-4/IE00667/F0041/X008/R0106/001/COMM</t>
  </si>
  <si>
    <t>O1308-4/IE00571/F0041/X008/R0106/001/COMM</t>
  </si>
  <si>
    <t>Social Cohesion/Umkhosi Wesintu (Gifts and Promotional Items)</t>
  </si>
  <si>
    <t>O1308-4/IE00754/F0041/X008/R0106/001/COMM</t>
  </si>
  <si>
    <t>O1308-4/IE00847/F0041/X008/R0106/001/COMM</t>
  </si>
  <si>
    <t>O1243-5/IE00677/F0041/X008/R0106/001/COMM</t>
  </si>
  <si>
    <t>O1243-5/IE00703/F0041/X008/R0106/001/COMM</t>
  </si>
  <si>
    <t>O1243-5/IE00667/F0041/X008/R0106/001/COMM</t>
  </si>
  <si>
    <t>Moral Regeneration (Sound and Stage Hire)</t>
  </si>
  <si>
    <t>Moral Regenaration (Tent, Chairs and Tables)</t>
  </si>
  <si>
    <t>Moral Regeneration  (Transportation)</t>
  </si>
  <si>
    <t xml:space="preserve">Moral Regeneration (Catering) </t>
  </si>
  <si>
    <t>O1243-5/IE00571/F0041/X008/R0106/001/COMM</t>
  </si>
  <si>
    <t>O1220-4/IE00677/F0041/X008/R0106/001/COMM</t>
  </si>
  <si>
    <t>HIV and AIDS Programmes (Catering)</t>
  </si>
  <si>
    <t>HIV and AIDS Programmes (Hire Charges Tent)</t>
  </si>
  <si>
    <t>HIV and AIDS Programmes (Sound system)</t>
  </si>
  <si>
    <t>HIV and AIDS Programmes (Transport)</t>
  </si>
  <si>
    <t>O1220-4/IE00703/F0041/X008/R0106/001/COMM</t>
  </si>
  <si>
    <t>O1220-4/IE00667/F0041/X008/R0106/001/COMM</t>
  </si>
  <si>
    <t>O1220-4/IE00571/F0041/X008/R0106/001/COMM</t>
  </si>
  <si>
    <t>O1247-1/IE00677/F0041/X008/R0106/001/COMM</t>
  </si>
  <si>
    <t>Civil Society Forums Advisory meeting (Catering)</t>
  </si>
  <si>
    <t>O1247-1/IE00754/F0041/X008/R0106/001/COMM</t>
  </si>
  <si>
    <t>Civil Society Forums Advisory meeting (Gifts and Promotional Items)</t>
  </si>
  <si>
    <t>O1235-6/IE00677/F0041/X008/R0106/001/COMM</t>
  </si>
  <si>
    <t>16 Days of Activism Programme (Catering)</t>
  </si>
  <si>
    <t>16 Days of Activism Programme (Tent )</t>
  </si>
  <si>
    <t>16 Days of Activism Programme (Sound and stage)</t>
  </si>
  <si>
    <t>16 Days of Activism Programme (Transport)</t>
  </si>
  <si>
    <t>O1235-6/IE00703/F0041/X008/R0106/001/COMM</t>
  </si>
  <si>
    <t>O1235-6/IE00667/F0041/X008/R0106/001/COMM</t>
  </si>
  <si>
    <t>O1235-6/IE00571/F0041/X008/R0106/001/COMM</t>
  </si>
  <si>
    <t>O1308-5/IE00677/F0041/X008/R0106/001/COMM</t>
  </si>
  <si>
    <t>O1308-5/IE00703/F0041/X008/R0106/001/COMM</t>
  </si>
  <si>
    <t>O1308-5/IE00754/F0041/X008/R0106/001/COMM</t>
  </si>
  <si>
    <t>Operation Sukuma Sakhe (Catering/Mbo/oss meetings)</t>
  </si>
  <si>
    <t>Operation Sukuma Sakhe(Transportation)</t>
  </si>
  <si>
    <t>Operation Sukuma Sakhe (Tent )</t>
  </si>
  <si>
    <t>O1243-6/IE00677/F0041/X008/R0106/001/COMM</t>
  </si>
  <si>
    <t>O1243-6/IE00703/F0041/X008/R0106/001/COMM</t>
  </si>
  <si>
    <t>O1243-6/IE00571/F0041/X008/R0106/001/COMM</t>
  </si>
  <si>
    <t>O0018-1/IE00649/F0041/X046/R0105/001/CORP</t>
  </si>
  <si>
    <t>O0018-1/IE00756/F0041/X046/R0105/001/CORP</t>
  </si>
  <si>
    <t>O0001/IE00792/F0041/X116/R0105/001/TECH</t>
  </si>
  <si>
    <t>D0001/IR01671/F0791/X099/R0105/001/TECH</t>
  </si>
  <si>
    <t>O0001/IE00059/F0041/X099/R0105/001/TECH</t>
  </si>
  <si>
    <t>O0001/IE00810/F0041/X099/R0105/001/TECH</t>
  </si>
  <si>
    <t>O0001/IE00144/F0041/X099/R0105/001/TECH</t>
  </si>
  <si>
    <t>O0001/IE01581/F0041/X099/R0105/001/TECH</t>
  </si>
  <si>
    <t>O0001/IE00060/F0041/X099/R0105/001/TECH</t>
  </si>
  <si>
    <t>O0001/IE00143/F0041/X099/R0105/001/TECH</t>
  </si>
  <si>
    <t>O0001/IE00677/F0041/X099/R0105/001/TECH</t>
  </si>
  <si>
    <t>O0001/IE00583/F0041/X024/R0105/001/COMM</t>
  </si>
  <si>
    <t>Employee Related Cost Cyber Cadet Library Grant (Salaries and Allowances) internal Funded Portion</t>
  </si>
  <si>
    <t>O0001/IE00036/F0041/X024/R0105/001/COMM</t>
  </si>
  <si>
    <t>O1255-1/IE00677/F0041/X024/R0106/001/COMM</t>
  </si>
  <si>
    <t>D0001/IR00992/F0930/X132/R0105/001/COMM</t>
  </si>
  <si>
    <t>O0001/IE00595/F0041/X006/R0105/001/COMM</t>
  </si>
  <si>
    <t xml:space="preserve">Computer Software, Programme and Licencing </t>
  </si>
  <si>
    <t>O1303-4/IE00844/F0041/X101/R0105/001/EDP</t>
  </si>
  <si>
    <t>Professional Fees (Land Use Management System/Sceam)</t>
  </si>
  <si>
    <t>Maintenance of Office Equipment (Small Tools)</t>
  </si>
  <si>
    <t>Business Plan Development 2021-2022</t>
  </si>
  <si>
    <t>Professional Fees (Infrastructure Assets Maintenance Plan)</t>
  </si>
  <si>
    <t>O1346-1/IE00847/F0041/X116/R0105/001/TECH</t>
  </si>
  <si>
    <t>Repairs and Maintenance (unplanned Maitenance)</t>
  </si>
  <si>
    <t>O1348-1/IE00080/F0041/X099/R0105/001/TECH</t>
  </si>
  <si>
    <t>O3523-2/IE00649/F0041/X116/R0105/001/TECH</t>
  </si>
  <si>
    <t>Repairs and Maintenance (Road Maintenance)</t>
  </si>
  <si>
    <t>Repairs and Maintenance (Local Sport facilities Grass Cutting )</t>
  </si>
  <si>
    <t>Repairs and Maintenance (Sport Field in Ward 10)</t>
  </si>
  <si>
    <t>O3259-1/IE00649/F0041/X116/R3702/001/TECH</t>
  </si>
  <si>
    <t>Repairs and Maintenance (Johnny Makhatini Ward 15)</t>
  </si>
  <si>
    <t>Repairs and Maintenance (Hall 1 (TBC)</t>
  </si>
  <si>
    <t>Repairs and Maintenance (Hall 2 (TBC)</t>
  </si>
  <si>
    <t>Repairs and Maintenance (Hall 3 (TBC)</t>
  </si>
  <si>
    <t>Repairs and Maintenance (Hall 4 (TBC)</t>
  </si>
  <si>
    <t>Repairs and Maintenance (Bhamshela Renovation)</t>
  </si>
  <si>
    <t>O3259-2/IE00649/F0041/X116/R3696/001/TECH</t>
  </si>
  <si>
    <t>O3259-3/IE00649/F0041/X116/R3707/001/TECH</t>
  </si>
  <si>
    <t>O3259-4/IE00649/F0041/X116/R3708/001/TECH</t>
  </si>
  <si>
    <t>O3259-5/IE00649/F0041/X116/R3709/001/TECH</t>
  </si>
  <si>
    <t>O0001/IE00756/F0041/X098/R0105/001/EDP</t>
  </si>
  <si>
    <t>EDP Uniform and Protective Clothing</t>
  </si>
  <si>
    <t>O0025-4/IE00086/F0041/X101/R0105/001/EDP</t>
  </si>
  <si>
    <t>O0025-5/IE00022/F0041/X101/R0105/001/EDP</t>
  </si>
  <si>
    <t xml:space="preserve">DPSS Shared Service </t>
  </si>
  <si>
    <t>O0024-2/IE00672/F0041/X101/R0105/001/EDP</t>
  </si>
  <si>
    <t>ESRISoftware maintenance</t>
  </si>
  <si>
    <t>O0001/IE00792/F0041/X101/R0105/001/EDP</t>
  </si>
  <si>
    <t>O1246-1/IE01321/F0041/X051/R0106/001/CORP</t>
  </si>
  <si>
    <t>O0001/IZ00041/F0001/X049/R0105/001/FIN</t>
  </si>
  <si>
    <t xml:space="preserve">Debt Impairment Provision </t>
  </si>
  <si>
    <t>O1333-6/IE00703/F0041/X125/R0106/001/MMO</t>
  </si>
  <si>
    <t>O1354-2/IE00677/F0041/X098/R0106/001/EDP</t>
  </si>
  <si>
    <t>O3583-1/IE00025/F0041/X101/R0105/001/EDP</t>
  </si>
  <si>
    <t>O1279-1/IE00604/F0041/X116/R0106/001/TECH</t>
  </si>
  <si>
    <t>EPWP Uniform and Protective Clothing</t>
  </si>
  <si>
    <t>O1231-1/IE00672/F1177/X049/R0106/001/FIN</t>
  </si>
  <si>
    <t>O0001/IE00792/F1177/X049/R0105/001/FIN</t>
  </si>
  <si>
    <t>O0001/IE00110/F0041/X049/R0105/001/FIN</t>
  </si>
  <si>
    <t>Professional Fees (Asset Verification Projects)</t>
  </si>
  <si>
    <t>O0022-1/IE00835/F1177/X049/R0106/001/FIN</t>
  </si>
  <si>
    <t>O0001/IE00685/F1177/X049/R0106/001/FIN</t>
  </si>
  <si>
    <t>Internal Audit Fees</t>
  </si>
  <si>
    <t>O1232-7/IE01581/F1177/X049/R0106/001/FIN</t>
  </si>
  <si>
    <t>O1232-10/IE00059/F1177/X049/R0105/001/FIN</t>
  </si>
  <si>
    <t>O1232-7/IE00060/F1177/X049/R0105/001/FIN</t>
  </si>
  <si>
    <t>O0001/IE00584/F1177/X049/R0106/001/FIN</t>
  </si>
  <si>
    <t xml:space="preserve">Municipal Security services </t>
  </si>
  <si>
    <t>O0001/IE00698/F2495/X046/R0106/001/CORP</t>
  </si>
  <si>
    <t xml:space="preserve">Municipal Electricity and Water </t>
  </si>
  <si>
    <t>O0001/IE00579/F2495/X046/R0106/001/CORP</t>
  </si>
  <si>
    <t>O0001/IE00769/F2495/X046/R0106/001/CORP</t>
  </si>
  <si>
    <t>Consultation Changes</t>
  </si>
  <si>
    <t>2020/2021 Final Budget</t>
  </si>
  <si>
    <t>Repairs and Maintenance (Wewe Hall)</t>
  </si>
  <si>
    <t>Type 2 Electrification (Ward 1-19)</t>
  </si>
  <si>
    <t>Municipal Disaster Relief Grant</t>
  </si>
  <si>
    <t>Total Transfers and Subsidies</t>
  </si>
  <si>
    <t>Disaster Management  (Emergency Relief Grant Funding)</t>
  </si>
  <si>
    <t>GRAND TOTAL EXPENDITURE (DISASTER MANAGEMENT)</t>
  </si>
  <si>
    <t>Schemes Support Programme</t>
  </si>
  <si>
    <t>D0001/IR006972/F13636/X096/R0105/001/MMO</t>
  </si>
  <si>
    <t>O0022-7/IE00847/F13636/X096/R0105/001/MMO</t>
  </si>
  <si>
    <t>Ward Based Plan Grant</t>
  </si>
  <si>
    <t>D0001/IR006973/F13637/X045/R0105/001/MMO</t>
  </si>
  <si>
    <t>Schemes Support Programme Grant</t>
  </si>
  <si>
    <t>O1265-5/IE01321/F1180/X019/R0106/001/COMM</t>
  </si>
  <si>
    <t>D0001/IR02321/F1180/X019/R0106/001/COMM</t>
  </si>
  <si>
    <t>O3259-6/IE00649/F0041/X116/R3709/001/TECH</t>
  </si>
  <si>
    <t>O1370-3/IE01320/F0041/X116/R3713/001/TECH</t>
  </si>
  <si>
    <t>Electrification of Households in Ward 08) Mchathu</t>
  </si>
  <si>
    <t>O1370-9/IE01320/F0041/X116/R0106/001/TECH</t>
  </si>
  <si>
    <t>O0022-8/IE00847/F13638/X045/R0105/001/MMO</t>
  </si>
  <si>
    <t>O0001/IE00792/F0041/X063/R0105/001/CORP</t>
  </si>
  <si>
    <t>O0001/IE00784/F0041/X063/R0105/001/CORP</t>
  </si>
  <si>
    <t>O1561-3/IE00793/F0041/X063/R0105/001/CORP</t>
  </si>
  <si>
    <t>O2774-1/IE00649/F0041/X063/R0105/001/CORP</t>
  </si>
  <si>
    <t>O0018-1/IE00016/F0041/X063/R0105/001/CORP</t>
  </si>
  <si>
    <t>O0029-3/IE00016/F0041/X063/R0105/001/CORP</t>
  </si>
  <si>
    <t>O0018-2/IE00844/F0041/X063/R0105/001/CORP</t>
  </si>
  <si>
    <t>O1562-4/IE00650/F0041/X052/R0105/001/CORP</t>
  </si>
  <si>
    <t>O0016-3/IE00754/F0041/X062/R0105/001/CORP</t>
  </si>
  <si>
    <t>O0001/IE00841/F0041/X062/R0105/001/CORP</t>
  </si>
  <si>
    <t>O0001/IE00692/F0041/X062/R0105/001/CORP</t>
  </si>
  <si>
    <t>O0001/IE00677/F0041/X062/R0105/001/CORP</t>
  </si>
  <si>
    <t>O0001/IE00142/F0041/X062/R0105/001/CORP</t>
  </si>
  <si>
    <t>O0001/IE00063/F0041/X062/R0105/001/CORP</t>
  </si>
  <si>
    <t>O0001/IE00751/F0041/X062/R0105/001/CORP</t>
  </si>
  <si>
    <t>O0016-3/IE00060/F0041/X062/R0105/001/CORP</t>
  </si>
  <si>
    <t>O0016-3/IE00677/F0041/X062/R0105/001/CORP</t>
  </si>
  <si>
    <t>O0018-1/IE00835/F0041/X062/R0105/001/CORP</t>
  </si>
  <si>
    <t>O0018-1/IE00635/F0041/X062/R0105/001/CORP</t>
  </si>
  <si>
    <t>O1300-2/IE01581/F0041/X062/R0105/001/CORP</t>
  </si>
  <si>
    <t>O1300-2/IE00060/F0041/X062/R0105/001/CORP</t>
  </si>
  <si>
    <t>O1300-2/IE00810/F0041/X062/R0105/001/CORP</t>
  </si>
  <si>
    <t>O1300-2/IE00144/F0041/X062/R0105/001/CORP</t>
  </si>
  <si>
    <t>O1300-2/IE01583/F0041/X062/R0105/001/CORP</t>
  </si>
  <si>
    <t>O1300-2/IE00143/F0041/X062/R0105/001/CORP</t>
  </si>
  <si>
    <t>O1300-2/IE00063/F0041/X062/R0105/001/CORP</t>
  </si>
  <si>
    <t>O1232-8/IE00703/F0041/X062/R0105/001/CORP</t>
  </si>
  <si>
    <t>O1232-8/IE00060/F0041/X062/R0105/001/CORP</t>
  </si>
  <si>
    <t>O1232-8/IE00677/F0041/X062/R0105/001/CORP</t>
  </si>
  <si>
    <t>O1232-8/IE00019/F0041/X062/R0105/001/CORP</t>
  </si>
  <si>
    <t>O0001/IE00584/F0041/X062/R0105/001/CORP</t>
  </si>
  <si>
    <t>O0001/IE00609/F0041/X062/R0105/001/CORP</t>
  </si>
  <si>
    <t>O0001/IE00605/F0041/X046/R0106/001/CORP</t>
  </si>
  <si>
    <t>O0001/IE00583/F0041/X049/R0105/001/FINA</t>
  </si>
  <si>
    <t>O0001/IE00595/F0041/X049/R0105/001/FINA</t>
  </si>
  <si>
    <t>Subsistence, Travelling &amp;Accommodation (Car hire- without operator)</t>
  </si>
  <si>
    <t>IDP Programme (Entertainment)</t>
  </si>
  <si>
    <t>Professional Fees (Employee Wellness)</t>
  </si>
  <si>
    <t>Professional Fees(LED Strategy,Agricultural plan,SDF and Housing Sector Plan</t>
  </si>
  <si>
    <t>Recruitme (Vetting)</t>
  </si>
  <si>
    <t>Recruitment (Catering)</t>
  </si>
  <si>
    <t>Recruitment (Medical  Examination)</t>
  </si>
  <si>
    <t>Recruitment (Relocation )</t>
  </si>
  <si>
    <t>Recruitment (S &amp; T)</t>
  </si>
  <si>
    <t>Adjustments</t>
  </si>
  <si>
    <t>O1264-9/IE00655/F0041/X106/R0106/001/COMM</t>
  </si>
  <si>
    <t>Sanitisation of Community Spaces Covid 19 Respond</t>
  </si>
  <si>
    <t>O1264-10/IE00036/F0041/X019/R0106/001/COMM</t>
  </si>
  <si>
    <t>O1264-11/IE00847/F0041/X019/R0106/001/COMM</t>
  </si>
  <si>
    <t>O1264-16/IE00675/F0041/X016/R0106/001/COMM</t>
  </si>
  <si>
    <t>Employees Related Cost ( Hiring of Youth on Contract Basis)</t>
  </si>
  <si>
    <t>Training of Youth for Covid 19 Programmes Covid 19 Respond</t>
  </si>
  <si>
    <t>Burial Assistance Covid 19 Respond</t>
  </si>
  <si>
    <t>O1264-14/IE00008/F0041/X053/R0105/001/CORP</t>
  </si>
  <si>
    <t>Litigation's Covid 19 Respond</t>
  </si>
  <si>
    <t>O1264-13/IE00739/F0041/X046/R0105/001/CORP</t>
  </si>
  <si>
    <t>Staff PPE Covid 19 Respond</t>
  </si>
  <si>
    <t>O1264-15/IE00678/F0041/X046/R0105/001/CORP</t>
  </si>
  <si>
    <t>Sanitisation of office building Covid 19 Respond</t>
  </si>
  <si>
    <t>O1264-20/IE00419-1/F0041/X098/R0106/001/EDP</t>
  </si>
  <si>
    <t>Cooperatives Development Covid 19 Respond</t>
  </si>
  <si>
    <t>O1264-23/IE01312/F0041/X008/R0106/001/COMM</t>
  </si>
  <si>
    <t>Dress a Child Covid 19 Respond</t>
  </si>
  <si>
    <t>O1264-22/IE00847/F0041/X045/R0106/001/MMO</t>
  </si>
  <si>
    <t>Ward Committee Training Covid 19 Respond</t>
  </si>
  <si>
    <t>O1264-18/IE00755/F0041/X045/R0106/001/MMO</t>
  </si>
  <si>
    <t>Community and Awareness Campaigns Covid 19 Respond</t>
  </si>
  <si>
    <t>O1264-19/IE01321/F0041/X045/R0106/001/MMO</t>
  </si>
  <si>
    <t>Feeding of Homeless/ Food Distribution Covid 19 Respond</t>
  </si>
  <si>
    <t>O1264-6/IE00651/F0041/X116/R0106/001/TECH</t>
  </si>
  <si>
    <t>Roads maintenance Covid 19 Respond</t>
  </si>
  <si>
    <t>NEW</t>
  </si>
  <si>
    <t>O0016-1/IE00534/F0041/X049/R0106/001/FIN</t>
  </si>
  <si>
    <t>O0001/IE00555/F0041/X051/R0105/001/CORP</t>
  </si>
  <si>
    <t>O1300-2/IE00061/F0041/X062/R0105/001/CORP</t>
  </si>
  <si>
    <t>O1299-4/IE00754/F0041/X051/R0105/001/CORP</t>
  </si>
  <si>
    <t>O0001/IE00595/F0041/X051/R0105/001/CORP</t>
  </si>
  <si>
    <t>O1299-4/IE00677/F0041/X051/R0105/001/CORP</t>
  </si>
  <si>
    <t>O1299-4/IE00847/F0041/X051/R0105/001/CORP</t>
  </si>
  <si>
    <t>O1244-1/IE00604/F0041/X098/R0105/001/EDP</t>
  </si>
  <si>
    <t>O1444-10/IE00667/F0041/X125/R0106/001/MMO</t>
  </si>
  <si>
    <t>Municipal Running Cost/Air Transport/Equitable Share/Project Management Unit/Administrative or Head O/Default/Technical Services</t>
  </si>
  <si>
    <t>Municipal Running Cost/Accommodation/Equitable Share/Project Management Unit/Administrative or Head O/Default/Technical Services</t>
  </si>
  <si>
    <t>O1333-3/IE00571/F0041/X125/R0106/001/MMO</t>
  </si>
  <si>
    <t>2020/2021 First Adjusted Budget</t>
  </si>
  <si>
    <t>2020/2021 Second Adjusted Budget</t>
  </si>
  <si>
    <t>Available budget After Adjustment</t>
  </si>
  <si>
    <t>2021/2022 OUTER YEAR ONE SUMMARY</t>
  </si>
  <si>
    <t>2022/2023 OUTER YEAR TWO SUMMARY</t>
  </si>
  <si>
    <t>D0001/IR01493/F0001/X049/R0105/001/FIN</t>
  </si>
  <si>
    <t>Default Transactions/Public Service Infrastru/Non-funding Transactions/Finance/Administrative or Head O/Default/FINANCE</t>
  </si>
  <si>
    <t>Municipal Running Cost/Municipal Offices/Non-funding Transactions/Property Services/Whole of the Municipalit/Default/FINANCE</t>
  </si>
  <si>
    <t>O0001/IE00042/F0041/X049/R0105/001/FIN</t>
  </si>
  <si>
    <t>Group Life Insurance</t>
  </si>
  <si>
    <t>O0001/IE00584/F0041/X046/R0106/001/CORP</t>
  </si>
  <si>
    <t>O0001/IE00016/F0041/X098/R0106/001/EDP</t>
  </si>
  <si>
    <t>Membership Fee</t>
  </si>
  <si>
    <t>O0001/IE00060/F0041/X098/R0105/001/EDP</t>
  </si>
  <si>
    <t>O0001/IE00144/F0041/X098/R0105/001/EDP</t>
  </si>
  <si>
    <t>O0001/IE00595/F0041/X116/R0105/001/TECH</t>
  </si>
  <si>
    <t>Skills Development Levies (Skills Development levies)</t>
  </si>
  <si>
    <t>Pending Amount</t>
  </si>
  <si>
    <t>Professional Fees PMS /Job Evaluation</t>
  </si>
  <si>
    <t>Accommodation (Car hire- without operator)</t>
  </si>
  <si>
    <t>Professional Fees (Epms) and Developing Technical Descriptive Indicators (TDI's) for PMS</t>
  </si>
  <si>
    <t>Total Expenditure as at 31 January 2021</t>
  </si>
  <si>
    <t>O1234-2/IE00604/F0041/X006/R0106/001/COMM</t>
  </si>
  <si>
    <t>Disaster Management (Uniform )</t>
  </si>
  <si>
    <t>O1299-4/IE00703/F0041/X051/R0105/001/CORP</t>
  </si>
  <si>
    <t>O1562-5/IE00650/F0041/X116/R0105/001/TECH</t>
  </si>
  <si>
    <t>O1300-3/IE00840/F0041/X051/R0105/001/CORP</t>
  </si>
  <si>
    <t>O0001/IE00143/F0041/X098/R0105/001/EDP</t>
  </si>
  <si>
    <t>O0001/IE01581/F0041/X098/R0105/001/EDP</t>
  </si>
  <si>
    <t>New</t>
  </si>
  <si>
    <t>O1333-7/IE00571/F0041/X125/R0106/001/MMO</t>
  </si>
  <si>
    <t>1444-6/IE00626/F0041/X125/R0106/001/MMO</t>
  </si>
  <si>
    <t>O1444-8/IE00571/F0041/X125/R0106/001/MMO</t>
  </si>
  <si>
    <t>2020/2021 APPROVED ADJUSTED BUDGET (BUDGET AND TREASURY OFFICE)</t>
  </si>
  <si>
    <t>2020/2021 APPROVED ADJUSTED BUDGET  (MUNICIPAL MANAGER)</t>
  </si>
  <si>
    <t>2020/2021 APPROVED ADJUSTED BUDGET (COMMUNITY SERVICES)</t>
  </si>
  <si>
    <t>2020/2021 APPROVED ADJUSTED BUDGET (CORPORATE SERVICES)</t>
  </si>
  <si>
    <t>2020/2021 APPROVED ADJUSTED BUDGET (EXECUTIVE COUNCIL)</t>
  </si>
  <si>
    <t>2020/2021 APPROVED ADJUSTED BUDGET (ECONOMIC DEVELOPMENT AND PLANNING)</t>
  </si>
  <si>
    <t>2020/2021 APPROVED ADJUSTED BUDGET (TECHNICAL SERVICES)</t>
  </si>
  <si>
    <t>2020/2021 APPROVED ADJUSTED BUDGET SUMMARY</t>
  </si>
  <si>
    <t>O0001/IE07625/F0001/X049/R0106/001/FIN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</si>
</sst>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0"/>
      <color rgb="FFFF0000"/>
      <name val="Times New Roman"/>
      <family val="1"/>
    </font>
    <font>
      <b/>
      <sz val="11"/>
      <name val="Times New Roman"/>
      <family val="1"/>
    </font>
    <font>
      <b/>
      <sz val="10"/>
      <color rgb="FFFF0000"/>
      <name val="Times New Roman"/>
      <family val="1"/>
    </font>
    <font>
      <b/>
      <sz val="11"/>
      <color rgb="FFFF0000"/>
      <name val="Times New Roman"/>
      <family val="1"/>
    </font>
    <font>
      <sz val="16"/>
      <name val="Times New Roman"/>
      <family val="1"/>
    </font>
    <font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8">
    <xf numFmtId="0" fontId="0" fillId="0" borderId="0" xfId="0"/>
    <xf numFmtId="43" fontId="0" fillId="0" borderId="0" xfId="1" applyFont="1"/>
    <xf numFmtId="0" fontId="2" fillId="0" borderId="2" xfId="0" applyFont="1" applyBorder="1"/>
    <xf numFmtId="43" fontId="2" fillId="0" borderId="2" xfId="1" applyFont="1" applyBorder="1"/>
    <xf numFmtId="0" fontId="0" fillId="0" borderId="2" xfId="0" applyBorder="1"/>
    <xf numFmtId="43" fontId="0" fillId="0" borderId="2" xfId="1" applyFont="1" applyBorder="1"/>
    <xf numFmtId="0" fontId="2" fillId="0" borderId="8" xfId="0" applyFont="1" applyBorder="1"/>
    <xf numFmtId="0" fontId="2" fillId="0" borderId="9" xfId="0" applyFont="1" applyBorder="1"/>
    <xf numFmtId="43" fontId="2" fillId="0" borderId="9" xfId="1" applyFont="1" applyBorder="1"/>
    <xf numFmtId="0" fontId="0" fillId="2" borderId="2" xfId="0" applyFill="1" applyBorder="1"/>
    <xf numFmtId="0" fontId="2" fillId="3" borderId="1" xfId="0" applyFont="1" applyFill="1" applyBorder="1"/>
    <xf numFmtId="43" fontId="2" fillId="3" borderId="1" xfId="1" applyFont="1" applyFill="1" applyBorder="1" applyAlignment="1">
      <alignment horizontal="center" wrapText="1"/>
    </xf>
    <xf numFmtId="43" fontId="2" fillId="3" borderId="1" xfId="1" applyFont="1" applyFill="1" applyBorder="1"/>
    <xf numFmtId="43" fontId="2" fillId="0" borderId="17" xfId="1" applyFont="1" applyBorder="1"/>
    <xf numFmtId="0" fontId="2" fillId="0" borderId="2" xfId="0" applyFont="1" applyFill="1" applyBorder="1"/>
    <xf numFmtId="43" fontId="2" fillId="0" borderId="2" xfId="1" applyFont="1" applyFill="1" applyBorder="1"/>
    <xf numFmtId="0" fontId="0" fillId="0" borderId="18" xfId="0" applyBorder="1"/>
    <xf numFmtId="43" fontId="0" fillId="0" borderId="18" xfId="1" applyFont="1" applyBorder="1"/>
    <xf numFmtId="0" fontId="5" fillId="0" borderId="0" xfId="0" applyFont="1" applyFill="1"/>
    <xf numFmtId="0" fontId="6" fillId="0" borderId="0" xfId="0" applyFont="1" applyFill="1"/>
    <xf numFmtId="0" fontId="5" fillId="0" borderId="2" xfId="0" applyFont="1" applyBorder="1"/>
    <xf numFmtId="43" fontId="5" fillId="0" borderId="2" xfId="1" applyFont="1" applyBorder="1"/>
    <xf numFmtId="0" fontId="6" fillId="0" borderId="2" xfId="0" applyFont="1" applyBorder="1"/>
    <xf numFmtId="43" fontId="6" fillId="0" borderId="2" xfId="1" applyFont="1" applyBorder="1"/>
    <xf numFmtId="0" fontId="6" fillId="0" borderId="6" xfId="0" applyFont="1" applyBorder="1"/>
    <xf numFmtId="43" fontId="6" fillId="0" borderId="6" xfId="1" applyFont="1" applyBorder="1"/>
    <xf numFmtId="0" fontId="5" fillId="0" borderId="5" xfId="0" applyFont="1" applyBorder="1"/>
    <xf numFmtId="43" fontId="5" fillId="0" borderId="5" xfId="1" applyFont="1" applyBorder="1"/>
    <xf numFmtId="0" fontId="5" fillId="0" borderId="16" xfId="0" applyFont="1" applyBorder="1"/>
    <xf numFmtId="43" fontId="5" fillId="0" borderId="16" xfId="1" applyFont="1" applyBorder="1"/>
    <xf numFmtId="0" fontId="5" fillId="0" borderId="13" xfId="0" applyFont="1" applyBorder="1"/>
    <xf numFmtId="43" fontId="5" fillId="0" borderId="13" xfId="1" applyFont="1" applyBorder="1"/>
    <xf numFmtId="0" fontId="5" fillId="0" borderId="7" xfId="0" applyFont="1" applyBorder="1"/>
    <xf numFmtId="43" fontId="5" fillId="0" borderId="7" xfId="1" applyFont="1" applyBorder="1"/>
    <xf numFmtId="43" fontId="5" fillId="0" borderId="0" xfId="1" applyFont="1" applyFill="1"/>
    <xf numFmtId="0" fontId="6" fillId="3" borderId="0" xfId="0" applyFont="1" applyFill="1"/>
    <xf numFmtId="0" fontId="6" fillId="0" borderId="0" xfId="0" applyFont="1"/>
    <xf numFmtId="0" fontId="5" fillId="3" borderId="15" xfId="0" applyFont="1" applyFill="1" applyBorder="1"/>
    <xf numFmtId="43" fontId="5" fillId="3" borderId="15" xfId="1" applyFont="1" applyFill="1" applyBorder="1"/>
    <xf numFmtId="0" fontId="5" fillId="0" borderId="1" xfId="0" applyFont="1" applyBorder="1"/>
    <xf numFmtId="43" fontId="5" fillId="0" borderId="1" xfId="1" applyFont="1" applyBorder="1"/>
    <xf numFmtId="0" fontId="5" fillId="0" borderId="4" xfId="0" applyFont="1" applyBorder="1"/>
    <xf numFmtId="43" fontId="5" fillId="0" borderId="4" xfId="1" applyFont="1" applyBorder="1"/>
    <xf numFmtId="43" fontId="6" fillId="0" borderId="0" xfId="0" applyNumberFormat="1" applyFont="1"/>
    <xf numFmtId="43" fontId="6" fillId="0" borderId="0" xfId="1" applyFont="1"/>
    <xf numFmtId="0" fontId="5" fillId="0" borderId="0" xfId="0" applyFont="1"/>
    <xf numFmtId="43" fontId="5" fillId="0" borderId="0" xfId="1" applyFont="1"/>
    <xf numFmtId="9" fontId="6" fillId="0" borderId="0" xfId="2" applyFont="1"/>
    <xf numFmtId="0" fontId="7" fillId="0" borderId="0" xfId="0" applyFont="1" applyFill="1"/>
    <xf numFmtId="43" fontId="7" fillId="0" borderId="0" xfId="1" applyFont="1" applyFill="1"/>
    <xf numFmtId="0" fontId="8" fillId="0" borderId="2" xfId="0" applyFont="1" applyFill="1" applyBorder="1" applyAlignment="1"/>
    <xf numFmtId="0" fontId="8" fillId="0" borderId="2" xfId="0" applyFont="1" applyFill="1" applyBorder="1"/>
    <xf numFmtId="0" fontId="9" fillId="0" borderId="2" xfId="0" applyFont="1" applyFill="1" applyBorder="1"/>
    <xf numFmtId="43" fontId="9" fillId="0" borderId="2" xfId="1" applyFont="1" applyFill="1" applyBorder="1"/>
    <xf numFmtId="43" fontId="9" fillId="0" borderId="4" xfId="1" applyFont="1" applyFill="1" applyBorder="1" applyAlignment="1">
      <alignment horizontal="center" wrapText="1"/>
    </xf>
    <xf numFmtId="0" fontId="8" fillId="0" borderId="6" xfId="0" applyFont="1" applyFill="1" applyBorder="1"/>
    <xf numFmtId="0" fontId="9" fillId="0" borderId="6" xfId="0" applyFont="1" applyFill="1" applyBorder="1"/>
    <xf numFmtId="0" fontId="8" fillId="0" borderId="5" xfId="0" applyFont="1" applyFill="1" applyBorder="1"/>
    <xf numFmtId="0" fontId="9" fillId="0" borderId="5" xfId="0" applyFont="1" applyFill="1" applyBorder="1"/>
    <xf numFmtId="43" fontId="8" fillId="0" borderId="5" xfId="1" applyFont="1" applyFill="1" applyBorder="1"/>
    <xf numFmtId="0" fontId="8" fillId="0" borderId="4" xfId="0" applyFont="1" applyFill="1" applyBorder="1"/>
    <xf numFmtId="0" fontId="9" fillId="0" borderId="4" xfId="0" applyFont="1" applyFill="1" applyBorder="1"/>
    <xf numFmtId="43" fontId="9" fillId="0" borderId="4" xfId="1" applyFont="1" applyFill="1" applyBorder="1"/>
    <xf numFmtId="0" fontId="9" fillId="0" borderId="0" xfId="0" applyFont="1" applyFill="1"/>
    <xf numFmtId="43" fontId="9" fillId="0" borderId="0" xfId="1" applyFont="1" applyFill="1"/>
    <xf numFmtId="0" fontId="8" fillId="0" borderId="9" xfId="0" applyFont="1" applyFill="1" applyBorder="1"/>
    <xf numFmtId="43" fontId="8" fillId="0" borderId="4" xfId="1" applyFont="1" applyFill="1" applyBorder="1" applyAlignment="1">
      <alignment horizontal="center" wrapText="1"/>
    </xf>
    <xf numFmtId="43" fontId="8" fillId="0" borderId="2" xfId="1" applyFont="1" applyFill="1" applyBorder="1"/>
    <xf numFmtId="43" fontId="9" fillId="0" borderId="13" xfId="1" applyFont="1" applyFill="1" applyBorder="1" applyAlignment="1">
      <alignment horizontal="center" wrapText="1"/>
    </xf>
    <xf numFmtId="43" fontId="9" fillId="0" borderId="6" xfId="1" applyFont="1" applyFill="1" applyBorder="1"/>
    <xf numFmtId="0" fontId="8" fillId="0" borderId="25" xfId="0" applyFont="1" applyFill="1" applyBorder="1"/>
    <xf numFmtId="43" fontId="8" fillId="0" borderId="25" xfId="1" applyFont="1" applyFill="1" applyBorder="1" applyAlignment="1">
      <alignment horizontal="center" wrapText="1"/>
    </xf>
    <xf numFmtId="43" fontId="8" fillId="0" borderId="25" xfId="1" applyFont="1" applyFill="1" applyBorder="1"/>
    <xf numFmtId="0" fontId="9" fillId="0" borderId="13" xfId="0" applyFont="1" applyFill="1" applyBorder="1"/>
    <xf numFmtId="0" fontId="8" fillId="0" borderId="13" xfId="0" applyFont="1" applyFill="1" applyBorder="1"/>
    <xf numFmtId="0" fontId="8" fillId="0" borderId="15" xfId="0" applyFont="1" applyFill="1" applyBorder="1"/>
    <xf numFmtId="43" fontId="8" fillId="0" borderId="0" xfId="1" applyFont="1" applyFill="1"/>
    <xf numFmtId="0" fontId="8" fillId="0" borderId="0" xfId="0" applyFont="1" applyFill="1"/>
    <xf numFmtId="43" fontId="8" fillId="0" borderId="4" xfId="1" applyFont="1" applyFill="1" applyBorder="1"/>
    <xf numFmtId="43" fontId="9" fillId="0" borderId="13" xfId="1" applyFont="1" applyFill="1" applyBorder="1"/>
    <xf numFmtId="43" fontId="8" fillId="0" borderId="13" xfId="1" applyFont="1" applyFill="1" applyBorder="1"/>
    <xf numFmtId="0" fontId="8" fillId="0" borderId="7" xfId="0" applyFont="1" applyFill="1" applyBorder="1"/>
    <xf numFmtId="43" fontId="8" fillId="0" borderId="7" xfId="1" applyFont="1" applyFill="1" applyBorder="1"/>
    <xf numFmtId="43" fontId="8" fillId="0" borderId="6" xfId="1" applyFont="1" applyFill="1" applyBorder="1"/>
    <xf numFmtId="0" fontId="9" fillId="0" borderId="3" xfId="0" applyFont="1" applyFill="1" applyBorder="1"/>
    <xf numFmtId="0" fontId="9" fillId="0" borderId="19" xfId="0" applyFont="1" applyFill="1" applyBorder="1"/>
    <xf numFmtId="43" fontId="9" fillId="0" borderId="19" xfId="1" applyFont="1" applyFill="1" applyBorder="1"/>
    <xf numFmtId="43" fontId="8" fillId="0" borderId="9" xfId="1" applyFont="1" applyFill="1" applyBorder="1"/>
    <xf numFmtId="9" fontId="9" fillId="0" borderId="0" xfId="2" applyFont="1" applyFill="1"/>
    <xf numFmtId="0" fontId="8" fillId="0" borderId="10" xfId="0" applyFont="1" applyFill="1" applyBorder="1" applyAlignment="1"/>
    <xf numFmtId="0" fontId="8" fillId="0" borderId="11" xfId="0" applyFont="1" applyFill="1" applyBorder="1" applyAlignment="1"/>
    <xf numFmtId="43" fontId="8" fillId="0" borderId="13" xfId="1" applyFont="1" applyFill="1" applyBorder="1" applyAlignment="1">
      <alignment horizontal="center" wrapText="1"/>
    </xf>
    <xf numFmtId="43" fontId="8" fillId="0" borderId="5" xfId="1" applyFont="1" applyFill="1" applyBorder="1" applyAlignment="1">
      <alignment horizontal="center" wrapText="1"/>
    </xf>
    <xf numFmtId="43" fontId="9" fillId="0" borderId="0" xfId="0" applyNumberFormat="1" applyFont="1" applyFill="1"/>
    <xf numFmtId="43" fontId="9" fillId="0" borderId="14" xfId="1" applyFont="1" applyFill="1" applyBorder="1"/>
    <xf numFmtId="43" fontId="9" fillId="0" borderId="5" xfId="1" applyFont="1" applyFill="1" applyBorder="1"/>
    <xf numFmtId="0" fontId="9" fillId="0" borderId="26" xfId="0" applyFont="1" applyFill="1" applyBorder="1"/>
    <xf numFmtId="43" fontId="9" fillId="0" borderId="26" xfId="1" applyFont="1" applyFill="1" applyBorder="1"/>
    <xf numFmtId="0" fontId="8" fillId="0" borderId="23" xfId="0" applyFont="1" applyFill="1" applyBorder="1"/>
    <xf numFmtId="43" fontId="8" fillId="0" borderId="23" xfId="1" applyFont="1" applyFill="1" applyBorder="1"/>
    <xf numFmtId="43" fontId="8" fillId="0" borderId="15" xfId="1" applyFont="1" applyFill="1" applyBorder="1"/>
    <xf numFmtId="43" fontId="9" fillId="0" borderId="16" xfId="1" applyFont="1" applyFill="1" applyBorder="1"/>
    <xf numFmtId="0" fontId="8" fillId="0" borderId="27" xfId="0" applyFont="1" applyFill="1" applyBorder="1"/>
    <xf numFmtId="43" fontId="8" fillId="0" borderId="27" xfId="1" applyFont="1" applyFill="1" applyBorder="1"/>
    <xf numFmtId="0" fontId="9" fillId="0" borderId="28" xfId="0" applyFont="1" applyFill="1" applyBorder="1"/>
    <xf numFmtId="0" fontId="8" fillId="0" borderId="28" xfId="0" applyFont="1" applyFill="1" applyBorder="1"/>
    <xf numFmtId="0" fontId="8" fillId="0" borderId="16" xfId="0" applyFont="1" applyFill="1" applyBorder="1"/>
    <xf numFmtId="43" fontId="8" fillId="0" borderId="16" xfId="1" applyFont="1" applyFill="1" applyBorder="1"/>
    <xf numFmtId="0" fontId="9" fillId="0" borderId="29" xfId="0" applyFont="1" applyFill="1" applyBorder="1"/>
    <xf numFmtId="0" fontId="8" fillId="0" borderId="24" xfId="0" applyFont="1" applyFill="1" applyBorder="1"/>
    <xf numFmtId="0" fontId="8" fillId="0" borderId="30" xfId="0" applyFont="1" applyFill="1" applyBorder="1"/>
    <xf numFmtId="0" fontId="8" fillId="0" borderId="14" xfId="0" applyFont="1" applyFill="1" applyBorder="1"/>
    <xf numFmtId="0" fontId="9" fillId="0" borderId="16" xfId="0" applyFont="1" applyFill="1" applyBorder="1"/>
    <xf numFmtId="43" fontId="9" fillId="0" borderId="3" xfId="1" applyFont="1" applyFill="1" applyBorder="1" applyAlignment="1">
      <alignment horizontal="center" wrapText="1"/>
    </xf>
    <xf numFmtId="43" fontId="9" fillId="0" borderId="3" xfId="1" applyFont="1" applyFill="1" applyBorder="1"/>
    <xf numFmtId="43" fontId="9" fillId="0" borderId="2" xfId="1" applyFont="1" applyFill="1" applyBorder="1" applyAlignment="1">
      <alignment horizontal="center" wrapText="1"/>
    </xf>
    <xf numFmtId="0" fontId="8" fillId="0" borderId="19" xfId="0" applyFont="1" applyFill="1" applyBorder="1"/>
    <xf numFmtId="0" fontId="8" fillId="0" borderId="26" xfId="0" applyFont="1" applyFill="1" applyBorder="1"/>
    <xf numFmtId="43" fontId="8" fillId="0" borderId="26" xfId="1" applyFont="1" applyFill="1" applyBorder="1"/>
    <xf numFmtId="43" fontId="8" fillId="0" borderId="7" xfId="0" applyNumberFormat="1" applyFont="1" applyFill="1" applyBorder="1"/>
    <xf numFmtId="43" fontId="5" fillId="4" borderId="0" xfId="1" applyFont="1" applyFill="1"/>
    <xf numFmtId="0" fontId="5" fillId="4" borderId="0" xfId="0" applyFont="1" applyFill="1"/>
    <xf numFmtId="43" fontId="10" fillId="0" borderId="0" xfId="1" applyFont="1"/>
    <xf numFmtId="0" fontId="10" fillId="0" borderId="0" xfId="0" applyFont="1"/>
    <xf numFmtId="0" fontId="10" fillId="0" borderId="0" xfId="0" applyFont="1" applyFill="1"/>
    <xf numFmtId="0" fontId="8" fillId="0" borderId="1" xfId="0" applyFont="1" applyFill="1" applyBorder="1" applyAlignment="1"/>
    <xf numFmtId="9" fontId="5" fillId="0" borderId="0" xfId="2" applyFont="1"/>
    <xf numFmtId="0" fontId="11" fillId="3" borderId="15" xfId="0" applyFont="1" applyFill="1" applyBorder="1"/>
    <xf numFmtId="43" fontId="11" fillId="3" borderId="15" xfId="1" applyFont="1" applyFill="1" applyBorder="1"/>
    <xf numFmtId="0" fontId="11" fillId="0" borderId="1" xfId="0" applyFont="1" applyBorder="1"/>
    <xf numFmtId="43" fontId="11" fillId="0" borderId="1" xfId="1" applyFont="1" applyBorder="1"/>
    <xf numFmtId="0" fontId="11" fillId="0" borderId="2" xfId="0" applyFont="1" applyBorder="1"/>
    <xf numFmtId="43" fontId="11" fillId="0" borderId="2" xfId="1" applyFont="1" applyBorder="1"/>
    <xf numFmtId="0" fontId="12" fillId="0" borderId="2" xfId="0" applyFont="1" applyBorder="1"/>
    <xf numFmtId="43" fontId="12" fillId="0" borderId="2" xfId="1" applyFont="1" applyBorder="1"/>
    <xf numFmtId="0" fontId="11" fillId="0" borderId="5" xfId="0" applyFont="1" applyBorder="1"/>
    <xf numFmtId="43" fontId="11" fillId="0" borderId="5" xfId="1" applyFont="1" applyBorder="1"/>
    <xf numFmtId="0" fontId="11" fillId="0" borderId="16" xfId="0" applyFont="1" applyBorder="1"/>
    <xf numFmtId="43" fontId="11" fillId="0" borderId="16" xfId="1" applyFont="1" applyBorder="1"/>
    <xf numFmtId="0" fontId="12" fillId="0" borderId="6" xfId="0" applyFont="1" applyBorder="1"/>
    <xf numFmtId="43" fontId="12" fillId="0" borderId="6" xfId="1" applyFont="1" applyBorder="1"/>
    <xf numFmtId="0" fontId="11" fillId="0" borderId="13" xfId="0" applyFont="1" applyBorder="1"/>
    <xf numFmtId="43" fontId="11" fillId="0" borderId="13" xfId="1" applyFont="1" applyBorder="1"/>
    <xf numFmtId="0" fontId="11" fillId="0" borderId="5" xfId="0" applyFont="1" applyFill="1" applyBorder="1"/>
    <xf numFmtId="43" fontId="11" fillId="0" borderId="5" xfId="1" applyFont="1" applyFill="1" applyBorder="1"/>
    <xf numFmtId="0" fontId="11" fillId="0" borderId="7" xfId="0" applyFont="1" applyBorder="1"/>
    <xf numFmtId="43" fontId="11" fillId="0" borderId="7" xfId="1" applyFont="1" applyBorder="1"/>
    <xf numFmtId="0" fontId="8" fillId="0" borderId="2" xfId="0" applyFont="1" applyFill="1" applyBorder="1" applyAlignment="1">
      <alignment horizontal="left"/>
    </xf>
    <xf numFmtId="43" fontId="8" fillId="0" borderId="0" xfId="0" applyNumberFormat="1" applyFont="1" applyFill="1"/>
    <xf numFmtId="43" fontId="13" fillId="0" borderId="2" xfId="1" applyFont="1" applyFill="1" applyBorder="1"/>
    <xf numFmtId="43" fontId="11" fillId="3" borderId="15" xfId="1" applyFont="1" applyFill="1" applyBorder="1" applyAlignment="1">
      <alignment horizontal="center" wrapText="1"/>
    </xf>
    <xf numFmtId="0" fontId="8" fillId="0" borderId="31" xfId="0" applyFont="1" applyFill="1" applyBorder="1"/>
    <xf numFmtId="0" fontId="8" fillId="0" borderId="4" xfId="0" applyFont="1" applyFill="1" applyBorder="1" applyAlignment="1"/>
    <xf numFmtId="43" fontId="8" fillId="0" borderId="15" xfId="1" applyFont="1" applyFill="1" applyBorder="1" applyAlignment="1"/>
    <xf numFmtId="43" fontId="9" fillId="0" borderId="6" xfId="1" applyFont="1" applyFill="1" applyBorder="1" applyAlignment="1"/>
    <xf numFmtId="43" fontId="6" fillId="0" borderId="0" xfId="1" applyFont="1" applyBorder="1"/>
    <xf numFmtId="43" fontId="9" fillId="0" borderId="1" xfId="1" applyFont="1" applyFill="1" applyBorder="1"/>
    <xf numFmtId="43" fontId="9" fillId="0" borderId="15" xfId="1" applyFont="1" applyFill="1" applyBorder="1"/>
    <xf numFmtId="0" fontId="8" fillId="0" borderId="2" xfId="0" applyFont="1" applyFill="1" applyBorder="1" applyAlignment="1">
      <alignment horizontal="center"/>
    </xf>
    <xf numFmtId="0" fontId="9" fillId="0" borderId="32" xfId="0" applyFont="1" applyFill="1" applyBorder="1"/>
    <xf numFmtId="43" fontId="8" fillId="0" borderId="32" xfId="1" applyFont="1" applyFill="1" applyBorder="1"/>
    <xf numFmtId="43" fontId="8" fillId="0" borderId="3" xfId="1" applyFont="1" applyFill="1" applyBorder="1"/>
    <xf numFmtId="0" fontId="8" fillId="0" borderId="1" xfId="0" applyFont="1" applyFill="1" applyBorder="1"/>
    <xf numFmtId="43" fontId="8" fillId="0" borderId="1" xfId="1" applyFont="1" applyFill="1" applyBorder="1" applyAlignment="1">
      <alignment horizontal="center" wrapText="1"/>
    </xf>
    <xf numFmtId="43" fontId="8" fillId="0" borderId="15" xfId="1" applyFont="1" applyFill="1" applyBorder="1" applyAlignment="1">
      <alignment horizontal="center" wrapText="1"/>
    </xf>
    <xf numFmtId="0" fontId="8" fillId="0" borderId="2" xfId="0" applyFont="1" applyFill="1" applyBorder="1" applyAlignment="1">
      <alignment vertical="center"/>
    </xf>
    <xf numFmtId="0" fontId="9" fillId="4" borderId="2" xfId="0" applyFont="1" applyFill="1" applyBorder="1"/>
    <xf numFmtId="43" fontId="9" fillId="5" borderId="0" xfId="1" applyFont="1" applyFill="1"/>
    <xf numFmtId="43" fontId="8" fillId="5" borderId="1" xfId="1" applyFont="1" applyFill="1" applyBorder="1" applyAlignment="1">
      <alignment horizontal="center" wrapText="1"/>
    </xf>
    <xf numFmtId="0" fontId="8" fillId="5" borderId="2" xfId="0" applyFont="1" applyFill="1" applyBorder="1" applyAlignment="1"/>
    <xf numFmtId="43" fontId="9" fillId="5" borderId="2" xfId="1" applyFont="1" applyFill="1" applyBorder="1"/>
    <xf numFmtId="43" fontId="8" fillId="5" borderId="5" xfId="1" applyFont="1" applyFill="1" applyBorder="1"/>
    <xf numFmtId="43" fontId="9" fillId="5" borderId="4" xfId="1" applyFont="1" applyFill="1" applyBorder="1"/>
    <xf numFmtId="43" fontId="9" fillId="5" borderId="6" xfId="1" applyFont="1" applyFill="1" applyBorder="1"/>
    <xf numFmtId="43" fontId="9" fillId="5" borderId="13" xfId="1" applyFont="1" applyFill="1" applyBorder="1"/>
    <xf numFmtId="43" fontId="8" fillId="5" borderId="7" xfId="1" applyFont="1" applyFill="1" applyBorder="1"/>
    <xf numFmtId="43" fontId="9" fillId="5" borderId="1" xfId="1" applyFont="1" applyFill="1" applyBorder="1"/>
    <xf numFmtId="43" fontId="8" fillId="5" borderId="25" xfId="1" applyFont="1" applyFill="1" applyBorder="1"/>
    <xf numFmtId="43" fontId="8" fillId="5" borderId="15" xfId="1" applyFont="1" applyFill="1" applyBorder="1" applyAlignment="1"/>
    <xf numFmtId="0" fontId="8" fillId="5" borderId="4" xfId="0" applyFont="1" applyFill="1" applyBorder="1" applyAlignment="1"/>
    <xf numFmtId="43" fontId="9" fillId="5" borderId="4" xfId="1" applyFont="1" applyFill="1" applyBorder="1" applyAlignment="1">
      <alignment horizontal="center" wrapText="1"/>
    </xf>
    <xf numFmtId="43" fontId="8" fillId="5" borderId="5" xfId="1" applyFont="1" applyFill="1" applyBorder="1" applyAlignment="1">
      <alignment horizontal="center" wrapText="1"/>
    </xf>
    <xf numFmtId="0" fontId="9" fillId="5" borderId="5" xfId="0" applyFont="1" applyFill="1" applyBorder="1"/>
    <xf numFmtId="43" fontId="9" fillId="5" borderId="13" xfId="1" applyFont="1" applyFill="1" applyBorder="1" applyAlignment="1">
      <alignment horizontal="center" wrapText="1"/>
    </xf>
    <xf numFmtId="43" fontId="8" fillId="5" borderId="25" xfId="1" applyFont="1" applyFill="1" applyBorder="1" applyAlignment="1">
      <alignment horizontal="center" wrapText="1"/>
    </xf>
    <xf numFmtId="0" fontId="8" fillId="5" borderId="5" xfId="0" applyFont="1" applyFill="1" applyBorder="1"/>
    <xf numFmtId="43" fontId="8" fillId="5" borderId="7" xfId="0" applyNumberFormat="1" applyFont="1" applyFill="1" applyBorder="1"/>
    <xf numFmtId="43" fontId="9" fillId="0" borderId="5" xfId="0" applyNumberFormat="1" applyFont="1" applyFill="1" applyBorder="1"/>
    <xf numFmtId="0" fontId="9" fillId="0" borderId="14" xfId="0" applyFont="1" applyFill="1" applyBorder="1"/>
    <xf numFmtId="43" fontId="9" fillId="5" borderId="5" xfId="0" applyNumberFormat="1" applyFont="1" applyFill="1" applyBorder="1"/>
    <xf numFmtId="43" fontId="8" fillId="5" borderId="15" xfId="1" applyFont="1" applyFill="1" applyBorder="1"/>
    <xf numFmtId="43" fontId="9" fillId="0" borderId="2" xfId="1" applyNumberFormat="1" applyFont="1" applyFill="1" applyBorder="1" applyAlignment="1">
      <alignment shrinkToFit="1"/>
    </xf>
    <xf numFmtId="43" fontId="8" fillId="0" borderId="5" xfId="0" applyNumberFormat="1" applyFont="1" applyFill="1" applyBorder="1"/>
    <xf numFmtId="43" fontId="8" fillId="5" borderId="4" xfId="1" applyFont="1" applyFill="1" applyBorder="1" applyAlignment="1">
      <alignment horizontal="center" wrapText="1"/>
    </xf>
    <xf numFmtId="43" fontId="8" fillId="5" borderId="5" xfId="0" applyNumberFormat="1" applyFont="1" applyFill="1" applyBorder="1"/>
    <xf numFmtId="43" fontId="9" fillId="5" borderId="3" xfId="1" applyFont="1" applyFill="1" applyBorder="1"/>
    <xf numFmtId="43" fontId="8" fillId="5" borderId="27" xfId="1" applyFont="1" applyFill="1" applyBorder="1"/>
    <xf numFmtId="0" fontId="8" fillId="5" borderId="2" xfId="0" applyFont="1" applyFill="1" applyBorder="1" applyAlignment="1">
      <alignment horizontal="center"/>
    </xf>
    <xf numFmtId="43" fontId="9" fillId="5" borderId="5" xfId="1" applyFont="1" applyFill="1" applyBorder="1"/>
    <xf numFmtId="43" fontId="14" fillId="0" borderId="1" xfId="1" applyFont="1" applyFill="1" applyBorder="1" applyAlignment="1">
      <alignment horizontal="center" wrapText="1"/>
    </xf>
    <xf numFmtId="43" fontId="7" fillId="0" borderId="2" xfId="1" applyFont="1" applyFill="1" applyBorder="1"/>
    <xf numFmtId="0" fontId="14" fillId="0" borderId="0" xfId="0" applyFont="1" applyFill="1"/>
    <xf numFmtId="43" fontId="7" fillId="0" borderId="6" xfId="1" applyFont="1" applyFill="1" applyBorder="1"/>
    <xf numFmtId="43" fontId="7" fillId="5" borderId="0" xfId="1" applyFont="1" applyFill="1"/>
    <xf numFmtId="0" fontId="8" fillId="0" borderId="4" xfId="0" applyFont="1" applyFill="1" applyBorder="1" applyAlignment="1">
      <alignment wrapText="1"/>
    </xf>
    <xf numFmtId="43" fontId="8" fillId="5" borderId="13" xfId="1" applyFont="1" applyFill="1" applyBorder="1"/>
    <xf numFmtId="43" fontId="9" fillId="5" borderId="16" xfId="1" applyFont="1" applyFill="1" applyBorder="1"/>
    <xf numFmtId="43" fontId="8" fillId="5" borderId="32" xfId="1" applyFont="1" applyFill="1" applyBorder="1"/>
    <xf numFmtId="0" fontId="13" fillId="0" borderId="2" xfId="0" applyFont="1" applyFill="1" applyBorder="1"/>
    <xf numFmtId="43" fontId="13" fillId="5" borderId="2" xfId="1" applyFont="1" applyFill="1" applyBorder="1"/>
    <xf numFmtId="43" fontId="13" fillId="0" borderId="6" xfId="1" applyFont="1" applyFill="1" applyBorder="1"/>
    <xf numFmtId="0" fontId="13" fillId="0" borderId="0" xfId="0" applyFont="1" applyFill="1"/>
    <xf numFmtId="43" fontId="14" fillId="0" borderId="13" xfId="1" applyFont="1" applyFill="1" applyBorder="1"/>
    <xf numFmtId="43" fontId="14" fillId="0" borderId="0" xfId="1" applyFont="1" applyFill="1"/>
    <xf numFmtId="43" fontId="16" fillId="0" borderId="0" xfId="0" applyNumberFormat="1" applyFont="1" applyFill="1"/>
    <xf numFmtId="43" fontId="15" fillId="0" borderId="0" xfId="0" applyNumberFormat="1" applyFont="1" applyFill="1"/>
    <xf numFmtId="43" fontId="15" fillId="0" borderId="0" xfId="1" applyFont="1" applyFill="1"/>
    <xf numFmtId="43" fontId="13" fillId="0" borderId="0" xfId="1" applyFont="1" applyFill="1"/>
    <xf numFmtId="43" fontId="9" fillId="2" borderId="0" xfId="1" applyFont="1" applyFill="1"/>
    <xf numFmtId="43" fontId="8" fillId="2" borderId="1" xfId="1" applyFont="1" applyFill="1" applyBorder="1" applyAlignment="1">
      <alignment horizontal="center" wrapText="1"/>
    </xf>
    <xf numFmtId="0" fontId="8" fillId="2" borderId="2" xfId="0" applyFont="1" applyFill="1" applyBorder="1" applyAlignment="1"/>
    <xf numFmtId="43" fontId="9" fillId="2" borderId="2" xfId="1" applyFont="1" applyFill="1" applyBorder="1"/>
    <xf numFmtId="43" fontId="8" fillId="2" borderId="5" xfId="1" applyFont="1" applyFill="1" applyBorder="1"/>
    <xf numFmtId="43" fontId="8" fillId="2" borderId="4" xfId="1" applyFont="1" applyFill="1" applyBorder="1"/>
    <xf numFmtId="43" fontId="9" fillId="2" borderId="4" xfId="1" applyFont="1" applyFill="1" applyBorder="1"/>
    <xf numFmtId="43" fontId="9" fillId="2" borderId="6" xfId="1" applyFont="1" applyFill="1" applyBorder="1"/>
    <xf numFmtId="43" fontId="9" fillId="2" borderId="13" xfId="1" applyFont="1" applyFill="1" applyBorder="1"/>
    <xf numFmtId="43" fontId="8" fillId="2" borderId="7" xfId="1" applyFont="1" applyFill="1" applyBorder="1"/>
    <xf numFmtId="43" fontId="9" fillId="2" borderId="1" xfId="1" applyFont="1" applyFill="1" applyBorder="1"/>
    <xf numFmtId="43" fontId="9" fillId="2" borderId="15" xfId="1" applyFont="1" applyFill="1" applyBorder="1"/>
    <xf numFmtId="43" fontId="8" fillId="2" borderId="25" xfId="1" applyFont="1" applyFill="1" applyBorder="1"/>
    <xf numFmtId="9" fontId="9" fillId="2" borderId="0" xfId="2" applyFont="1" applyFill="1"/>
    <xf numFmtId="43" fontId="17" fillId="0" borderId="0" xfId="1" applyFont="1" applyFill="1"/>
    <xf numFmtId="43" fontId="8" fillId="5" borderId="2" xfId="1" applyFont="1" applyFill="1" applyBorder="1"/>
    <xf numFmtId="43" fontId="14" fillId="0" borderId="2" xfId="1" applyFont="1" applyFill="1" applyBorder="1"/>
    <xf numFmtId="43" fontId="8" fillId="5" borderId="6" xfId="1" applyFont="1" applyFill="1" applyBorder="1"/>
    <xf numFmtId="43" fontId="5" fillId="0" borderId="0" xfId="2" applyNumberFormat="1" applyFont="1"/>
    <xf numFmtId="0" fontId="13" fillId="0" borderId="6" xfId="0" applyFont="1" applyFill="1" applyBorder="1"/>
    <xf numFmtId="43" fontId="13" fillId="0" borderId="4" xfId="1" applyFont="1" applyFill="1" applyBorder="1" applyAlignment="1">
      <alignment horizontal="center" wrapText="1"/>
    </xf>
    <xf numFmtId="43" fontId="18" fillId="0" borderId="2" xfId="1" applyFont="1" applyFill="1" applyBorder="1"/>
    <xf numFmtId="43" fontId="18" fillId="0" borderId="0" xfId="1" applyFont="1" applyFill="1"/>
    <xf numFmtId="0" fontId="18" fillId="0" borderId="0" xfId="0" applyFont="1" applyFill="1"/>
    <xf numFmtId="43" fontId="9" fillId="0" borderId="6" xfId="0" applyNumberFormat="1" applyFont="1" applyFill="1" applyBorder="1"/>
    <xf numFmtId="43" fontId="5" fillId="0" borderId="0" xfId="0" applyNumberFormat="1" applyFont="1"/>
    <xf numFmtId="0" fontId="8" fillId="0" borderId="20" xfId="0" applyFont="1" applyFill="1" applyBorder="1" applyAlignment="1">
      <alignment horizontal="center"/>
    </xf>
    <xf numFmtId="0" fontId="8" fillId="0" borderId="21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3" fontId="11" fillId="3" borderId="20" xfId="1" applyFont="1" applyFill="1" applyBorder="1" applyAlignment="1">
      <alignment horizontal="center"/>
    </xf>
    <xf numFmtId="43" fontId="11" fillId="3" borderId="21" xfId="1" applyFont="1" applyFill="1" applyBorder="1" applyAlignment="1">
      <alignment horizontal="center"/>
    </xf>
    <xf numFmtId="43" fontId="11" fillId="3" borderId="22" xfId="1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9"/>
  <sheetViews>
    <sheetView tabSelected="1" view="pageBreakPreview" zoomScale="80" zoomScaleNormal="80" zoomScaleSheetLayoutView="80" workbookViewId="0">
      <pane xSplit="2" ySplit="4" topLeftCell="C50" activePane="bottomRight" state="frozen"/>
      <selection activeCell="B183" sqref="B183"/>
      <selection pane="topRight" activeCell="B183" sqref="B183"/>
      <selection pane="bottomLeft" activeCell="B183" sqref="B183"/>
      <selection pane="bottomRight" activeCell="J59" sqref="J59"/>
    </sheetView>
  </sheetViews>
  <sheetFormatPr defaultColWidth="9.1796875" defaultRowHeight="13" x14ac:dyDescent="0.3"/>
  <cols>
    <col min="1" max="1" width="35.81640625" style="63" customWidth="1"/>
    <col min="2" max="2" width="39.36328125" style="63" customWidth="1"/>
    <col min="3" max="4" width="16.1796875" style="64" hidden="1" customWidth="1"/>
    <col min="5" max="5" width="14.54296875" style="64" customWidth="1"/>
    <col min="6" max="6" width="16.1796875" style="64" hidden="1" customWidth="1"/>
    <col min="7" max="7" width="15.26953125" style="64" customWidth="1"/>
    <col min="8" max="8" width="16.1796875" style="218" customWidth="1"/>
    <col min="9" max="10" width="16.1796875" style="64" customWidth="1"/>
    <col min="11" max="11" width="16.90625" style="64" customWidth="1"/>
    <col min="12" max="12" width="16" style="64" customWidth="1"/>
    <col min="13" max="13" width="13.54296875" style="64" customWidth="1"/>
    <col min="14" max="14" width="14.54296875" style="64" customWidth="1"/>
    <col min="15" max="15" width="13.453125" style="64" customWidth="1"/>
    <col min="16" max="16" width="9.81640625" style="63" bestFit="1" customWidth="1"/>
    <col min="17" max="16384" width="9.1796875" style="63"/>
  </cols>
  <sheetData>
    <row r="1" spans="1:16" ht="13.5" thickBot="1" x14ac:dyDescent="0.35">
      <c r="B1" s="215">
        <f>'2020 2021 ADJU BUDGET SUMMARY'!J24</f>
        <v>-58996.24570569396</v>
      </c>
      <c r="C1" s="64">
        <f>'2020 2021 ADJU BUDGET SUMMARY'!J24</f>
        <v>-58996.24570569396</v>
      </c>
    </row>
    <row r="2" spans="1:16" ht="13.5" thickBot="1" x14ac:dyDescent="0.35">
      <c r="A2" s="244" t="s">
        <v>1362</v>
      </c>
      <c r="B2" s="245"/>
      <c r="C2" s="245"/>
      <c r="D2" s="245"/>
      <c r="E2" s="245"/>
      <c r="F2" s="245"/>
      <c r="G2" s="245"/>
      <c r="H2" s="245"/>
      <c r="I2" s="245"/>
      <c r="J2" s="245"/>
      <c r="K2" s="246"/>
    </row>
    <row r="3" spans="1:16" s="77" customFormat="1" ht="39" x14ac:dyDescent="0.3">
      <c r="A3" s="162" t="s">
        <v>0</v>
      </c>
      <c r="B3" s="162" t="s">
        <v>1</v>
      </c>
      <c r="C3" s="163" t="s">
        <v>673</v>
      </c>
      <c r="D3" s="163" t="s">
        <v>1224</v>
      </c>
      <c r="E3" s="163" t="s">
        <v>1225</v>
      </c>
      <c r="F3" s="163" t="s">
        <v>1289</v>
      </c>
      <c r="G3" s="163" t="s">
        <v>1329</v>
      </c>
      <c r="H3" s="219" t="s">
        <v>1289</v>
      </c>
      <c r="I3" s="163" t="s">
        <v>1330</v>
      </c>
      <c r="J3" s="163" t="s">
        <v>674</v>
      </c>
      <c r="K3" s="163" t="s">
        <v>675</v>
      </c>
      <c r="L3" s="163" t="s">
        <v>1350</v>
      </c>
      <c r="M3" s="163" t="s">
        <v>1346</v>
      </c>
      <c r="N3" s="163" t="s">
        <v>1331</v>
      </c>
      <c r="O3" s="76"/>
    </row>
    <row r="4" spans="1:16" s="77" customFormat="1" x14ac:dyDescent="0.3">
      <c r="A4" s="50"/>
      <c r="B4" s="50"/>
      <c r="C4" s="50"/>
      <c r="D4" s="50"/>
      <c r="E4" s="50"/>
      <c r="F4" s="50"/>
      <c r="G4" s="50"/>
      <c r="H4" s="220"/>
      <c r="I4" s="50"/>
      <c r="J4" s="50"/>
      <c r="K4" s="50"/>
      <c r="L4" s="67"/>
      <c r="M4" s="67"/>
      <c r="N4" s="67"/>
      <c r="O4" s="76"/>
    </row>
    <row r="5" spans="1:16" s="77" customFormat="1" x14ac:dyDescent="0.3">
      <c r="A5" s="89" t="s">
        <v>400</v>
      </c>
      <c r="B5" s="50"/>
      <c r="C5" s="50"/>
      <c r="D5" s="50"/>
      <c r="E5" s="50"/>
      <c r="F5" s="50"/>
      <c r="G5" s="50"/>
      <c r="H5" s="220"/>
      <c r="I5" s="50"/>
      <c r="J5" s="50"/>
      <c r="K5" s="50"/>
      <c r="L5" s="67"/>
      <c r="M5" s="67"/>
      <c r="N5" s="67"/>
      <c r="O5" s="76"/>
    </row>
    <row r="6" spans="1:16" s="77" customFormat="1" x14ac:dyDescent="0.3">
      <c r="A6" s="50" t="s">
        <v>75</v>
      </c>
      <c r="B6" s="50"/>
      <c r="C6" s="50"/>
      <c r="D6" s="50"/>
      <c r="E6" s="50"/>
      <c r="F6" s="50"/>
      <c r="G6" s="50"/>
      <c r="H6" s="220"/>
      <c r="I6" s="50"/>
      <c r="J6" s="50"/>
      <c r="K6" s="50"/>
      <c r="L6" s="67"/>
      <c r="M6" s="67"/>
      <c r="N6" s="67"/>
      <c r="O6" s="76"/>
    </row>
    <row r="7" spans="1:16" x14ac:dyDescent="0.3">
      <c r="A7" s="51" t="s">
        <v>67</v>
      </c>
      <c r="B7" s="52"/>
      <c r="C7" s="53"/>
      <c r="D7" s="53"/>
      <c r="E7" s="53"/>
      <c r="F7" s="53"/>
      <c r="G7" s="53"/>
      <c r="H7" s="221"/>
      <c r="I7" s="53"/>
      <c r="J7" s="53"/>
      <c r="K7" s="53"/>
      <c r="L7" s="53"/>
      <c r="M7" s="53"/>
      <c r="N7" s="53"/>
    </row>
    <row r="8" spans="1:16" x14ac:dyDescent="0.3">
      <c r="A8" s="52" t="s">
        <v>573</v>
      </c>
      <c r="B8" s="52" t="s">
        <v>572</v>
      </c>
      <c r="C8" s="53">
        <v>-11000000</v>
      </c>
      <c r="D8" s="53"/>
      <c r="E8" s="53">
        <f>C8+D8</f>
        <v>-11000000</v>
      </c>
      <c r="F8" s="53"/>
      <c r="G8" s="53">
        <f>E8+F8</f>
        <v>-11000000</v>
      </c>
      <c r="H8" s="221">
        <v>5000000</v>
      </c>
      <c r="I8" s="53">
        <f>G8+H8</f>
        <v>-6000000</v>
      </c>
      <c r="J8" s="53">
        <f>C8*104.6%</f>
        <v>-11506000</v>
      </c>
      <c r="K8" s="53">
        <f>J8*104.6%</f>
        <v>-12035276</v>
      </c>
      <c r="L8" s="53">
        <v>-3082182.17</v>
      </c>
      <c r="M8" s="53"/>
      <c r="N8" s="53">
        <f>I8-L8-M8</f>
        <v>-2917817.83</v>
      </c>
    </row>
    <row r="9" spans="1:16" ht="13.5" thickBot="1" x14ac:dyDescent="0.35">
      <c r="A9" s="52" t="s">
        <v>581</v>
      </c>
      <c r="B9" s="52" t="s">
        <v>8</v>
      </c>
      <c r="C9" s="53">
        <v>-800000</v>
      </c>
      <c r="D9" s="53"/>
      <c r="E9" s="53">
        <f>C9+D9</f>
        <v>-800000</v>
      </c>
      <c r="F9" s="53"/>
      <c r="G9" s="53">
        <f>E9+F9</f>
        <v>-800000</v>
      </c>
      <c r="H9" s="221">
        <v>-70926.239999999991</v>
      </c>
      <c r="I9" s="53">
        <f>G9+H9</f>
        <v>-870926.24</v>
      </c>
      <c r="J9" s="53">
        <f>C9*104.6%</f>
        <v>-836800</v>
      </c>
      <c r="K9" s="53">
        <f>J9*104.6%</f>
        <v>-875292.8</v>
      </c>
      <c r="L9" s="53">
        <v>-517655.79</v>
      </c>
      <c r="M9" s="53"/>
      <c r="N9" s="53">
        <f>I9-L9-M9</f>
        <v>-353270.45</v>
      </c>
      <c r="P9" s="93"/>
    </row>
    <row r="10" spans="1:16" s="77" customFormat="1" ht="13.5" thickBot="1" x14ac:dyDescent="0.35">
      <c r="A10" s="57" t="s">
        <v>68</v>
      </c>
      <c r="B10" s="57"/>
      <c r="C10" s="59">
        <f>SUM(C8:C9)</f>
        <v>-11800000</v>
      </c>
      <c r="D10" s="59">
        <f t="shared" ref="D10:N10" si="0">SUM(D8:D9)</f>
        <v>0</v>
      </c>
      <c r="E10" s="59">
        <f t="shared" si="0"/>
        <v>-11800000</v>
      </c>
      <c r="F10" s="59">
        <f t="shared" si="0"/>
        <v>0</v>
      </c>
      <c r="G10" s="59">
        <f t="shared" si="0"/>
        <v>-11800000</v>
      </c>
      <c r="H10" s="222">
        <f t="shared" si="0"/>
        <v>4929073.76</v>
      </c>
      <c r="I10" s="59">
        <f t="shared" si="0"/>
        <v>-6870926.2400000002</v>
      </c>
      <c r="J10" s="59">
        <f t="shared" si="0"/>
        <v>-12342800</v>
      </c>
      <c r="K10" s="59">
        <f t="shared" si="0"/>
        <v>-12910568.800000001</v>
      </c>
      <c r="L10" s="59">
        <f t="shared" si="0"/>
        <v>-3599837.96</v>
      </c>
      <c r="M10" s="59">
        <f t="shared" si="0"/>
        <v>0</v>
      </c>
      <c r="N10" s="59">
        <f t="shared" si="0"/>
        <v>-3271088.2800000003</v>
      </c>
      <c r="O10" s="76"/>
    </row>
    <row r="11" spans="1:16" s="77" customFormat="1" ht="13.5" thickTop="1" x14ac:dyDescent="0.3">
      <c r="A11" s="60"/>
      <c r="B11" s="60"/>
      <c r="C11" s="78"/>
      <c r="D11" s="78"/>
      <c r="E11" s="78"/>
      <c r="F11" s="78"/>
      <c r="G11" s="78"/>
      <c r="H11" s="223"/>
      <c r="I11" s="78"/>
      <c r="J11" s="78"/>
      <c r="K11" s="78"/>
      <c r="L11" s="67"/>
      <c r="M11" s="67"/>
      <c r="N11" s="67"/>
      <c r="O11" s="76"/>
    </row>
    <row r="12" spans="1:16" x14ac:dyDescent="0.3">
      <c r="A12" s="51" t="s">
        <v>69</v>
      </c>
      <c r="B12" s="52"/>
      <c r="C12" s="53"/>
      <c r="D12" s="53"/>
      <c r="E12" s="53"/>
      <c r="F12" s="53"/>
      <c r="G12" s="53"/>
      <c r="H12" s="221"/>
      <c r="I12" s="53"/>
      <c r="J12" s="53"/>
      <c r="K12" s="53"/>
      <c r="L12" s="53"/>
      <c r="M12" s="53"/>
      <c r="N12" s="53"/>
    </row>
    <row r="13" spans="1:16" ht="13.5" thickBot="1" x14ac:dyDescent="0.35">
      <c r="A13" s="56" t="s">
        <v>9</v>
      </c>
      <c r="B13" s="56" t="s">
        <v>10</v>
      </c>
      <c r="C13" s="53">
        <v>-1000</v>
      </c>
      <c r="D13" s="53"/>
      <c r="E13" s="53">
        <f>C13+D13</f>
        <v>-1000</v>
      </c>
      <c r="F13" s="53"/>
      <c r="G13" s="53">
        <f>E13+F13</f>
        <v>-1000</v>
      </c>
      <c r="H13" s="221">
        <v>-500</v>
      </c>
      <c r="I13" s="53">
        <f>G13+H13</f>
        <v>-1500</v>
      </c>
      <c r="J13" s="53">
        <f>C13*104.6%</f>
        <v>-1046</v>
      </c>
      <c r="K13" s="53">
        <f>J13*104.6%</f>
        <v>-1094.116</v>
      </c>
      <c r="L13" s="53">
        <v>-1370</v>
      </c>
      <c r="M13" s="53"/>
      <c r="N13" s="53">
        <f>I13-L13-M13</f>
        <v>-130</v>
      </c>
    </row>
    <row r="14" spans="1:16" s="77" customFormat="1" ht="13.5" thickBot="1" x14ac:dyDescent="0.35">
      <c r="A14" s="57" t="s">
        <v>68</v>
      </c>
      <c r="B14" s="57"/>
      <c r="C14" s="59">
        <f t="shared" ref="C14:N14" si="1">SUM(C13)</f>
        <v>-1000</v>
      </c>
      <c r="D14" s="59">
        <f t="shared" si="1"/>
        <v>0</v>
      </c>
      <c r="E14" s="59">
        <f t="shared" si="1"/>
        <v>-1000</v>
      </c>
      <c r="F14" s="59">
        <f t="shared" si="1"/>
        <v>0</v>
      </c>
      <c r="G14" s="59">
        <f t="shared" si="1"/>
        <v>-1000</v>
      </c>
      <c r="H14" s="222">
        <f t="shared" si="1"/>
        <v>-500</v>
      </c>
      <c r="I14" s="59">
        <f t="shared" si="1"/>
        <v>-1500</v>
      </c>
      <c r="J14" s="59">
        <f t="shared" si="1"/>
        <v>-1046</v>
      </c>
      <c r="K14" s="59">
        <f t="shared" si="1"/>
        <v>-1094.116</v>
      </c>
      <c r="L14" s="59">
        <f t="shared" si="1"/>
        <v>-1370</v>
      </c>
      <c r="M14" s="59">
        <f t="shared" si="1"/>
        <v>0</v>
      </c>
      <c r="N14" s="59">
        <f t="shared" si="1"/>
        <v>-130</v>
      </c>
      <c r="O14" s="76"/>
    </row>
    <row r="15" spans="1:16" s="77" customFormat="1" ht="13.5" thickTop="1" x14ac:dyDescent="0.3">
      <c r="A15" s="60"/>
      <c r="B15" s="60"/>
      <c r="C15" s="78"/>
      <c r="D15" s="78"/>
      <c r="E15" s="78"/>
      <c r="F15" s="78"/>
      <c r="G15" s="78"/>
      <c r="H15" s="223"/>
      <c r="I15" s="78"/>
      <c r="J15" s="78"/>
      <c r="K15" s="78"/>
      <c r="L15" s="67"/>
      <c r="M15" s="67"/>
      <c r="N15" s="67"/>
      <c r="O15" s="76"/>
    </row>
    <row r="16" spans="1:16" x14ac:dyDescent="0.3">
      <c r="A16" s="51" t="s">
        <v>70</v>
      </c>
      <c r="B16" s="52"/>
      <c r="C16" s="53"/>
      <c r="D16" s="53"/>
      <c r="E16" s="53">
        <f t="shared" ref="E16:E81" si="2">C16+D16</f>
        <v>0</v>
      </c>
      <c r="F16" s="53"/>
      <c r="G16" s="53"/>
      <c r="H16" s="221"/>
      <c r="I16" s="53"/>
      <c r="J16" s="53"/>
      <c r="K16" s="53"/>
      <c r="L16" s="53"/>
      <c r="M16" s="53"/>
      <c r="N16" s="53"/>
    </row>
    <row r="17" spans="1:16" x14ac:dyDescent="0.3">
      <c r="A17" s="52" t="s">
        <v>568</v>
      </c>
      <c r="B17" s="52" t="s">
        <v>569</v>
      </c>
      <c r="C17" s="53">
        <v>-300000</v>
      </c>
      <c r="D17" s="53"/>
      <c r="E17" s="53">
        <f t="shared" si="2"/>
        <v>-300000</v>
      </c>
      <c r="F17" s="53"/>
      <c r="G17" s="53">
        <f>E17+F17</f>
        <v>-300000</v>
      </c>
      <c r="H17" s="221">
        <v>100000</v>
      </c>
      <c r="I17" s="53">
        <f>G17+H17</f>
        <v>-200000</v>
      </c>
      <c r="J17" s="53">
        <f>C17*104.6%</f>
        <v>-313800</v>
      </c>
      <c r="K17" s="53">
        <f t="shared" ref="K17" si="3">J17*104.6%</f>
        <v>-328234.8</v>
      </c>
      <c r="L17" s="53"/>
      <c r="M17" s="53"/>
      <c r="N17" s="53">
        <f t="shared" ref="N17:N19" si="4">I17-L17-M17</f>
        <v>-200000</v>
      </c>
    </row>
    <row r="18" spans="1:16" x14ac:dyDescent="0.3">
      <c r="A18" s="52" t="s">
        <v>566</v>
      </c>
      <c r="B18" s="52" t="s">
        <v>567</v>
      </c>
      <c r="C18" s="53">
        <v>-50000</v>
      </c>
      <c r="D18" s="53"/>
      <c r="E18" s="53">
        <f t="shared" si="2"/>
        <v>-50000</v>
      </c>
      <c r="F18" s="53"/>
      <c r="G18" s="53">
        <f>E18+F18</f>
        <v>-50000</v>
      </c>
      <c r="H18" s="221">
        <v>-300000</v>
      </c>
      <c r="I18" s="53">
        <f>G18+H18</f>
        <v>-350000</v>
      </c>
      <c r="J18" s="53">
        <f>C18*104.6%</f>
        <v>-52300</v>
      </c>
      <c r="K18" s="53">
        <f t="shared" ref="K18" si="5">J18*104.6%</f>
        <v>-54705.8</v>
      </c>
      <c r="L18" s="53">
        <v>-321844.17</v>
      </c>
      <c r="M18" s="53"/>
      <c r="N18" s="53">
        <f t="shared" si="4"/>
        <v>-28155.830000000016</v>
      </c>
    </row>
    <row r="19" spans="1:16" ht="13.5" thickBot="1" x14ac:dyDescent="0.35">
      <c r="A19" s="56" t="s">
        <v>570</v>
      </c>
      <c r="B19" s="56" t="s">
        <v>571</v>
      </c>
      <c r="C19" s="53">
        <v>-100000</v>
      </c>
      <c r="D19" s="53"/>
      <c r="E19" s="53">
        <f t="shared" si="2"/>
        <v>-100000</v>
      </c>
      <c r="F19" s="53"/>
      <c r="G19" s="53">
        <f>E19+F19</f>
        <v>-100000</v>
      </c>
      <c r="H19" s="221"/>
      <c r="I19" s="53">
        <f>G19+H19</f>
        <v>-100000</v>
      </c>
      <c r="J19" s="53">
        <f>C19*104.6%</f>
        <v>-104600</v>
      </c>
      <c r="K19" s="53">
        <f t="shared" ref="K19" si="6">J19*104.6%</f>
        <v>-109411.6</v>
      </c>
      <c r="L19" s="53"/>
      <c r="M19" s="53"/>
      <c r="N19" s="53">
        <f t="shared" si="4"/>
        <v>-100000</v>
      </c>
    </row>
    <row r="20" spans="1:16" s="77" customFormat="1" ht="13.5" thickBot="1" x14ac:dyDescent="0.35">
      <c r="A20" s="57" t="s">
        <v>68</v>
      </c>
      <c r="B20" s="57"/>
      <c r="C20" s="59">
        <f t="shared" ref="C20:N20" si="7">SUM(C17:C19)</f>
        <v>-450000</v>
      </c>
      <c r="D20" s="59">
        <f t="shared" si="7"/>
        <v>0</v>
      </c>
      <c r="E20" s="59">
        <f t="shared" si="7"/>
        <v>-450000</v>
      </c>
      <c r="F20" s="59">
        <f t="shared" si="7"/>
        <v>0</v>
      </c>
      <c r="G20" s="59">
        <f t="shared" si="7"/>
        <v>-450000</v>
      </c>
      <c r="H20" s="222">
        <f t="shared" si="7"/>
        <v>-200000</v>
      </c>
      <c r="I20" s="59">
        <f t="shared" si="7"/>
        <v>-650000</v>
      </c>
      <c r="J20" s="59">
        <f t="shared" si="7"/>
        <v>-470700</v>
      </c>
      <c r="K20" s="59">
        <f t="shared" si="7"/>
        <v>-492352.19999999995</v>
      </c>
      <c r="L20" s="59">
        <f t="shared" si="7"/>
        <v>-321844.17</v>
      </c>
      <c r="M20" s="59">
        <f t="shared" si="7"/>
        <v>0</v>
      </c>
      <c r="N20" s="59">
        <f t="shared" si="7"/>
        <v>-328155.83</v>
      </c>
      <c r="O20" s="76"/>
    </row>
    <row r="21" spans="1:16" s="77" customFormat="1" ht="13.5" thickTop="1" x14ac:dyDescent="0.3">
      <c r="A21" s="60"/>
      <c r="B21" s="60"/>
      <c r="C21" s="78"/>
      <c r="D21" s="78"/>
      <c r="E21" s="53">
        <f t="shared" si="2"/>
        <v>0</v>
      </c>
      <c r="F21" s="62"/>
      <c r="G21" s="62"/>
      <c r="H21" s="224"/>
      <c r="I21" s="62"/>
      <c r="J21" s="78"/>
      <c r="K21" s="78"/>
      <c r="L21" s="67"/>
      <c r="M21" s="67"/>
      <c r="N21" s="67"/>
      <c r="O21" s="76"/>
    </row>
    <row r="22" spans="1:16" x14ac:dyDescent="0.3">
      <c r="A22" s="51" t="s">
        <v>71</v>
      </c>
      <c r="B22" s="52"/>
      <c r="C22" s="53"/>
      <c r="D22" s="53"/>
      <c r="E22" s="53">
        <f t="shared" si="2"/>
        <v>0</v>
      </c>
      <c r="F22" s="53"/>
      <c r="G22" s="53"/>
      <c r="H22" s="221"/>
      <c r="I22" s="53"/>
      <c r="J22" s="53"/>
      <c r="K22" s="53"/>
      <c r="L22" s="53"/>
      <c r="M22" s="53"/>
      <c r="N22" s="53"/>
    </row>
    <row r="23" spans="1:16" x14ac:dyDescent="0.3">
      <c r="A23" s="52" t="s">
        <v>11</v>
      </c>
      <c r="B23" s="52" t="s">
        <v>12</v>
      </c>
      <c r="C23" s="53">
        <v>-5000</v>
      </c>
      <c r="D23" s="53"/>
      <c r="E23" s="53">
        <f t="shared" si="2"/>
        <v>-5000</v>
      </c>
      <c r="F23" s="53"/>
      <c r="G23" s="53">
        <f>E23+F23</f>
        <v>-5000</v>
      </c>
      <c r="H23" s="221"/>
      <c r="I23" s="53">
        <f>G23+H23</f>
        <v>-5000</v>
      </c>
      <c r="J23" s="53">
        <f>C23*104.6%</f>
        <v>-5230</v>
      </c>
      <c r="K23" s="53">
        <f t="shared" ref="K23" si="8">J23*104.6%</f>
        <v>-5470.58</v>
      </c>
      <c r="L23" s="53">
        <v>-3000</v>
      </c>
      <c r="M23" s="53"/>
      <c r="N23" s="53">
        <f t="shared" ref="N23:N24" si="9">I23-L23-M23</f>
        <v>-2000</v>
      </c>
    </row>
    <row r="24" spans="1:16" ht="13.5" thickBot="1" x14ac:dyDescent="0.35">
      <c r="A24" s="52" t="s">
        <v>582</v>
      </c>
      <c r="B24" s="52" t="s">
        <v>13</v>
      </c>
      <c r="C24" s="53">
        <v>-600000</v>
      </c>
      <c r="D24" s="53"/>
      <c r="E24" s="53">
        <f t="shared" si="2"/>
        <v>-600000</v>
      </c>
      <c r="F24" s="53"/>
      <c r="G24" s="53">
        <f>E24+F24</f>
        <v>-600000</v>
      </c>
      <c r="H24" s="221">
        <v>92045.479999999981</v>
      </c>
      <c r="I24" s="53">
        <f>G24+H24</f>
        <v>-507954.52</v>
      </c>
      <c r="J24" s="53">
        <f>C24*104.6%</f>
        <v>-627600</v>
      </c>
      <c r="K24" s="53">
        <f t="shared" ref="K24" si="10">J24*104.6%</f>
        <v>-656469.6</v>
      </c>
      <c r="L24" s="53">
        <v>-296096.8</v>
      </c>
      <c r="M24" s="53"/>
      <c r="N24" s="53">
        <f t="shared" si="9"/>
        <v>-211857.72000000003</v>
      </c>
      <c r="P24" s="93"/>
    </row>
    <row r="25" spans="1:16" s="77" customFormat="1" ht="13.5" thickBot="1" x14ac:dyDescent="0.35">
      <c r="A25" s="57" t="s">
        <v>68</v>
      </c>
      <c r="B25" s="57"/>
      <c r="C25" s="59">
        <f>SUM(C23:C24)</f>
        <v>-605000</v>
      </c>
      <c r="D25" s="59">
        <f t="shared" ref="D25:N25" si="11">SUM(D23:D24)</f>
        <v>0</v>
      </c>
      <c r="E25" s="59">
        <f t="shared" si="11"/>
        <v>-605000</v>
      </c>
      <c r="F25" s="59">
        <f t="shared" si="11"/>
        <v>0</v>
      </c>
      <c r="G25" s="59">
        <f t="shared" si="11"/>
        <v>-605000</v>
      </c>
      <c r="H25" s="222">
        <f t="shared" si="11"/>
        <v>92045.479999999981</v>
      </c>
      <c r="I25" s="59">
        <f t="shared" si="11"/>
        <v>-512954.52</v>
      </c>
      <c r="J25" s="59">
        <f t="shared" si="11"/>
        <v>-632830</v>
      </c>
      <c r="K25" s="59">
        <f t="shared" si="11"/>
        <v>-661940.17999999993</v>
      </c>
      <c r="L25" s="59">
        <f t="shared" si="11"/>
        <v>-299096.8</v>
      </c>
      <c r="M25" s="59">
        <f t="shared" si="11"/>
        <v>0</v>
      </c>
      <c r="N25" s="59">
        <f t="shared" si="11"/>
        <v>-213857.72000000003</v>
      </c>
      <c r="O25" s="76"/>
    </row>
    <row r="26" spans="1:16" s="77" customFormat="1" ht="13.5" thickTop="1" x14ac:dyDescent="0.3">
      <c r="A26" s="60"/>
      <c r="B26" s="60"/>
      <c r="C26" s="78"/>
      <c r="D26" s="78"/>
      <c r="E26" s="53">
        <f t="shared" si="2"/>
        <v>0</v>
      </c>
      <c r="F26" s="62"/>
      <c r="G26" s="62"/>
      <c r="H26" s="224"/>
      <c r="I26" s="62"/>
      <c r="J26" s="78"/>
      <c r="K26" s="78"/>
      <c r="L26" s="67"/>
      <c r="M26" s="67"/>
      <c r="N26" s="67"/>
      <c r="O26" s="76"/>
    </row>
    <row r="27" spans="1:16" x14ac:dyDescent="0.3">
      <c r="A27" s="51" t="s">
        <v>72</v>
      </c>
      <c r="B27" s="52"/>
      <c r="C27" s="53"/>
      <c r="D27" s="53"/>
      <c r="E27" s="53">
        <f t="shared" si="2"/>
        <v>0</v>
      </c>
      <c r="F27" s="53"/>
      <c r="G27" s="53"/>
      <c r="H27" s="221"/>
      <c r="I27" s="53"/>
      <c r="J27" s="53"/>
      <c r="K27" s="53"/>
      <c r="L27" s="53"/>
      <c r="M27" s="53"/>
      <c r="N27" s="53"/>
    </row>
    <row r="28" spans="1:16" x14ac:dyDescent="0.3">
      <c r="A28" s="52" t="s">
        <v>580</v>
      </c>
      <c r="B28" s="52" t="s">
        <v>579</v>
      </c>
      <c r="C28" s="53">
        <v>-100000</v>
      </c>
      <c r="D28" s="53"/>
      <c r="E28" s="53">
        <f t="shared" si="2"/>
        <v>-100000</v>
      </c>
      <c r="F28" s="53"/>
      <c r="G28" s="53">
        <f>E28+F28</f>
        <v>-100000</v>
      </c>
      <c r="H28" s="221">
        <v>-400000</v>
      </c>
      <c r="I28" s="53">
        <f>G28+H28</f>
        <v>-500000</v>
      </c>
      <c r="J28" s="53">
        <f>C28*104.6%</f>
        <v>-104600</v>
      </c>
      <c r="K28" s="53">
        <f t="shared" ref="K28" si="12">J28*104.6%</f>
        <v>-109411.6</v>
      </c>
      <c r="L28" s="53">
        <v>-404782.18999999989</v>
      </c>
      <c r="M28" s="53"/>
      <c r="N28" s="53">
        <f t="shared" ref="N28:N31" si="13">I28-L28-M28</f>
        <v>-95217.810000000114</v>
      </c>
    </row>
    <row r="29" spans="1:16" x14ac:dyDescent="0.3">
      <c r="A29" s="52" t="s">
        <v>440</v>
      </c>
      <c r="B29" s="52" t="s">
        <v>676</v>
      </c>
      <c r="C29" s="53">
        <v>-2000</v>
      </c>
      <c r="D29" s="53"/>
      <c r="E29" s="53">
        <f t="shared" si="2"/>
        <v>-2000</v>
      </c>
      <c r="F29" s="53"/>
      <c r="G29" s="53">
        <f>E29+F29</f>
        <v>-2000</v>
      </c>
      <c r="H29" s="221">
        <v>1000</v>
      </c>
      <c r="I29" s="53">
        <f>G29+H29</f>
        <v>-1000</v>
      </c>
      <c r="J29" s="53">
        <f>C29*104.6%</f>
        <v>-2092</v>
      </c>
      <c r="K29" s="53">
        <f t="shared" ref="K29" si="14">J29*104.6%</f>
        <v>-2188.232</v>
      </c>
      <c r="L29" s="53">
        <v>0</v>
      </c>
      <c r="M29" s="53"/>
      <c r="N29" s="53">
        <f t="shared" si="13"/>
        <v>-1000</v>
      </c>
    </row>
    <row r="30" spans="1:16" x14ac:dyDescent="0.3">
      <c r="A30" s="56" t="s">
        <v>565</v>
      </c>
      <c r="B30" s="56" t="s">
        <v>564</v>
      </c>
      <c r="C30" s="53">
        <v>-1000</v>
      </c>
      <c r="D30" s="53"/>
      <c r="E30" s="53">
        <f t="shared" si="2"/>
        <v>-1000</v>
      </c>
      <c r="F30" s="53"/>
      <c r="G30" s="53">
        <f>E30+F30</f>
        <v>-1000</v>
      </c>
      <c r="H30" s="221">
        <v>-4000</v>
      </c>
      <c r="I30" s="53">
        <f>G30+H30</f>
        <v>-5000</v>
      </c>
      <c r="J30" s="53">
        <f>C30*104.6%</f>
        <v>-1046</v>
      </c>
      <c r="K30" s="53">
        <f t="shared" ref="K30" si="15">J30*104.6%</f>
        <v>-1094.116</v>
      </c>
      <c r="L30" s="53">
        <v>-3000</v>
      </c>
      <c r="M30" s="53"/>
      <c r="N30" s="53">
        <f t="shared" si="13"/>
        <v>-2000</v>
      </c>
    </row>
    <row r="31" spans="1:16" x14ac:dyDescent="0.3">
      <c r="A31" s="73" t="s">
        <v>617</v>
      </c>
      <c r="B31" s="73" t="s">
        <v>720</v>
      </c>
      <c r="C31" s="53">
        <v>-5000</v>
      </c>
      <c r="D31" s="53"/>
      <c r="E31" s="53">
        <f t="shared" si="2"/>
        <v>-5000</v>
      </c>
      <c r="F31" s="53"/>
      <c r="G31" s="53">
        <f>E31+F31</f>
        <v>-5000</v>
      </c>
      <c r="H31" s="221">
        <v>3000</v>
      </c>
      <c r="I31" s="53">
        <f>G31+H31</f>
        <v>-2000</v>
      </c>
      <c r="J31" s="53">
        <f>C31*104.6%</f>
        <v>-5230</v>
      </c>
      <c r="K31" s="53">
        <f t="shared" ref="K31" si="16">J31*104.6%</f>
        <v>-5470.58</v>
      </c>
      <c r="L31" s="53"/>
      <c r="M31" s="53"/>
      <c r="N31" s="53">
        <f t="shared" si="13"/>
        <v>-2000</v>
      </c>
    </row>
    <row r="32" spans="1:16" ht="13.5" thickBot="1" x14ac:dyDescent="0.35">
      <c r="A32" s="73" t="s">
        <v>439</v>
      </c>
      <c r="B32" s="73" t="s">
        <v>432</v>
      </c>
      <c r="C32" s="53">
        <v>0</v>
      </c>
      <c r="D32" s="53"/>
      <c r="E32" s="53">
        <f t="shared" si="2"/>
        <v>0</v>
      </c>
      <c r="F32" s="53"/>
      <c r="G32" s="53">
        <f>E32+F32</f>
        <v>0</v>
      </c>
      <c r="H32" s="221"/>
      <c r="I32" s="53">
        <f>G32+H32</f>
        <v>0</v>
      </c>
      <c r="J32" s="53">
        <f>C32*104.6%</f>
        <v>0</v>
      </c>
      <c r="K32" s="53">
        <f t="shared" ref="K32" si="17">J32*104.6%</f>
        <v>0</v>
      </c>
      <c r="L32" s="53"/>
      <c r="M32" s="53"/>
      <c r="N32" s="53">
        <f t="shared" ref="N32" si="18">I32-L32</f>
        <v>0</v>
      </c>
    </row>
    <row r="33" spans="1:15" s="77" customFormat="1" ht="13.5" thickBot="1" x14ac:dyDescent="0.35">
      <c r="A33" s="57" t="s">
        <v>68</v>
      </c>
      <c r="B33" s="57"/>
      <c r="C33" s="59">
        <f t="shared" ref="C33:N33" si="19">SUM(C28:C32)</f>
        <v>-108000</v>
      </c>
      <c r="D33" s="59">
        <f t="shared" si="19"/>
        <v>0</v>
      </c>
      <c r="E33" s="59">
        <f t="shared" si="19"/>
        <v>-108000</v>
      </c>
      <c r="F33" s="59">
        <f t="shared" si="19"/>
        <v>0</v>
      </c>
      <c r="G33" s="59">
        <f t="shared" si="19"/>
        <v>-108000</v>
      </c>
      <c r="H33" s="222">
        <f t="shared" si="19"/>
        <v>-400000</v>
      </c>
      <c r="I33" s="59">
        <f t="shared" si="19"/>
        <v>-508000</v>
      </c>
      <c r="J33" s="59">
        <f t="shared" si="19"/>
        <v>-112968</v>
      </c>
      <c r="K33" s="59">
        <f t="shared" si="19"/>
        <v>-118164.52800000001</v>
      </c>
      <c r="L33" s="59">
        <f t="shared" si="19"/>
        <v>-407782.18999999989</v>
      </c>
      <c r="M33" s="59">
        <f t="shared" si="19"/>
        <v>0</v>
      </c>
      <c r="N33" s="59">
        <f t="shared" si="19"/>
        <v>-100217.81000000011</v>
      </c>
      <c r="O33" s="76"/>
    </row>
    <row r="34" spans="1:15" s="77" customFormat="1" ht="13.5" thickTop="1" x14ac:dyDescent="0.3">
      <c r="A34" s="60"/>
      <c r="B34" s="60"/>
      <c r="C34" s="78"/>
      <c r="D34" s="78"/>
      <c r="E34" s="53">
        <f t="shared" si="2"/>
        <v>0</v>
      </c>
      <c r="F34" s="62"/>
      <c r="G34" s="62"/>
      <c r="H34" s="224"/>
      <c r="I34" s="62"/>
      <c r="J34" s="78"/>
      <c r="K34" s="78"/>
      <c r="L34" s="67"/>
      <c r="M34" s="67"/>
      <c r="N34" s="67"/>
      <c r="O34" s="76"/>
    </row>
    <row r="35" spans="1:15" x14ac:dyDescent="0.3">
      <c r="A35" s="51" t="s">
        <v>73</v>
      </c>
      <c r="B35" s="52"/>
      <c r="C35" s="53"/>
      <c r="D35" s="53"/>
      <c r="E35" s="53">
        <f t="shared" si="2"/>
        <v>0</v>
      </c>
      <c r="F35" s="53"/>
      <c r="G35" s="53"/>
      <c r="H35" s="221"/>
      <c r="I35" s="53"/>
      <c r="J35" s="53"/>
      <c r="K35" s="53"/>
      <c r="L35" s="53"/>
      <c r="M35" s="53"/>
      <c r="N35" s="53"/>
    </row>
    <row r="36" spans="1:15" x14ac:dyDescent="0.3">
      <c r="A36" s="52" t="s">
        <v>562</v>
      </c>
      <c r="B36" s="52" t="s">
        <v>14</v>
      </c>
      <c r="C36" s="53">
        <v>-2862112.5</v>
      </c>
      <c r="D36" s="53"/>
      <c r="E36" s="53">
        <f t="shared" si="2"/>
        <v>-2862112.5</v>
      </c>
      <c r="F36" s="53"/>
      <c r="G36" s="53">
        <f t="shared" ref="G36:G44" si="20">E36+F36</f>
        <v>-2862112.5</v>
      </c>
      <c r="H36" s="221"/>
      <c r="I36" s="53">
        <f t="shared" ref="I36:I44" si="21">G36+H36</f>
        <v>-2862112.5</v>
      </c>
      <c r="J36" s="53">
        <f t="shared" ref="J36:J44" si="22">C36*104.6%</f>
        <v>-2993769.6750000003</v>
      </c>
      <c r="K36" s="53">
        <f t="shared" ref="K36" si="23">J36*104.6%</f>
        <v>-3131483.0800500005</v>
      </c>
      <c r="L36" s="53">
        <v>-1183251.1600000001</v>
      </c>
      <c r="M36" s="53"/>
      <c r="N36" s="53">
        <f t="shared" ref="N36:N46" si="24">I36-L36-M36</f>
        <v>-1678861.3399999999</v>
      </c>
    </row>
    <row r="37" spans="1:15" x14ac:dyDescent="0.3">
      <c r="A37" s="52" t="s">
        <v>670</v>
      </c>
      <c r="B37" s="52" t="s">
        <v>15</v>
      </c>
      <c r="C37" s="53">
        <v>0</v>
      </c>
      <c r="D37" s="53"/>
      <c r="E37" s="53">
        <f t="shared" si="2"/>
        <v>0</v>
      </c>
      <c r="F37" s="53"/>
      <c r="G37" s="53">
        <f t="shared" si="20"/>
        <v>0</v>
      </c>
      <c r="H37" s="221"/>
      <c r="I37" s="53">
        <f t="shared" si="21"/>
        <v>0</v>
      </c>
      <c r="J37" s="53">
        <f t="shared" si="22"/>
        <v>0</v>
      </c>
      <c r="K37" s="53">
        <f t="shared" ref="K37" si="25">J37*104.6%</f>
        <v>0</v>
      </c>
      <c r="L37" s="53">
        <v>0</v>
      </c>
      <c r="M37" s="53"/>
      <c r="N37" s="53">
        <f t="shared" si="24"/>
        <v>0</v>
      </c>
    </row>
    <row r="38" spans="1:15" x14ac:dyDescent="0.3">
      <c r="A38" s="52" t="s">
        <v>577</v>
      </c>
      <c r="B38" s="52" t="s">
        <v>16</v>
      </c>
      <c r="C38" s="53">
        <v>-1030727.65</v>
      </c>
      <c r="D38" s="53"/>
      <c r="E38" s="53">
        <f t="shared" si="2"/>
        <v>-1030727.65</v>
      </c>
      <c r="F38" s="53"/>
      <c r="G38" s="53">
        <f t="shared" si="20"/>
        <v>-1030727.65</v>
      </c>
      <c r="H38" s="221"/>
      <c r="I38" s="53">
        <f t="shared" si="21"/>
        <v>-1030727.65</v>
      </c>
      <c r="J38" s="53">
        <f t="shared" si="22"/>
        <v>-1078141.1219000001</v>
      </c>
      <c r="K38" s="53">
        <f t="shared" ref="K38" si="26">J38*104.6%</f>
        <v>-1127735.6135074003</v>
      </c>
      <c r="L38" s="53">
        <v>-1259181</v>
      </c>
      <c r="M38" s="53"/>
      <c r="N38" s="53">
        <f t="shared" si="24"/>
        <v>228453.34999999998</v>
      </c>
    </row>
    <row r="39" spans="1:15" x14ac:dyDescent="0.3">
      <c r="A39" s="52" t="s">
        <v>578</v>
      </c>
      <c r="B39" s="52" t="s">
        <v>17</v>
      </c>
      <c r="C39" s="53">
        <v>-274010.15999999997</v>
      </c>
      <c r="D39" s="53"/>
      <c r="E39" s="53">
        <f t="shared" si="2"/>
        <v>-274010.15999999997</v>
      </c>
      <c r="F39" s="53"/>
      <c r="G39" s="53">
        <f t="shared" si="20"/>
        <v>-274010.15999999997</v>
      </c>
      <c r="H39" s="221"/>
      <c r="I39" s="53">
        <f t="shared" si="21"/>
        <v>-274010.15999999997</v>
      </c>
      <c r="J39" s="53">
        <f t="shared" si="22"/>
        <v>-286614.62735999998</v>
      </c>
      <c r="K39" s="53">
        <f t="shared" ref="K39" si="27">J39*104.6%</f>
        <v>-299798.90021856001</v>
      </c>
      <c r="L39" s="53">
        <v>-182279.2</v>
      </c>
      <c r="M39" s="53"/>
      <c r="N39" s="53">
        <f t="shared" si="24"/>
        <v>-91730.959999999963</v>
      </c>
    </row>
    <row r="40" spans="1:15" x14ac:dyDescent="0.3">
      <c r="A40" s="52" t="s">
        <v>18</v>
      </c>
      <c r="B40" s="52" t="s">
        <v>19</v>
      </c>
      <c r="C40" s="53">
        <v>-613.08000000000004</v>
      </c>
      <c r="D40" s="53"/>
      <c r="E40" s="53">
        <f t="shared" si="2"/>
        <v>-613.08000000000004</v>
      </c>
      <c r="F40" s="53"/>
      <c r="G40" s="53">
        <f t="shared" si="20"/>
        <v>-613.08000000000004</v>
      </c>
      <c r="H40" s="221"/>
      <c r="I40" s="53">
        <f t="shared" si="21"/>
        <v>-613.08000000000004</v>
      </c>
      <c r="J40" s="53">
        <f t="shared" si="22"/>
        <v>-641.28168000000005</v>
      </c>
      <c r="K40" s="53">
        <f t="shared" ref="K40" si="28">J40*104.6%</f>
        <v>-670.78063728000006</v>
      </c>
      <c r="L40" s="53">
        <v>0</v>
      </c>
      <c r="M40" s="53"/>
      <c r="N40" s="53">
        <f t="shared" si="24"/>
        <v>-613.08000000000004</v>
      </c>
    </row>
    <row r="41" spans="1:15" x14ac:dyDescent="0.3">
      <c r="A41" s="52" t="s">
        <v>575</v>
      </c>
      <c r="B41" s="52" t="s">
        <v>20</v>
      </c>
      <c r="C41" s="53">
        <v>-39140</v>
      </c>
      <c r="D41" s="53"/>
      <c r="E41" s="53">
        <f t="shared" si="2"/>
        <v>-39140</v>
      </c>
      <c r="F41" s="53"/>
      <c r="G41" s="53">
        <f t="shared" si="20"/>
        <v>-39140</v>
      </c>
      <c r="H41" s="221"/>
      <c r="I41" s="53">
        <f t="shared" si="21"/>
        <v>-39140</v>
      </c>
      <c r="J41" s="53">
        <f t="shared" si="22"/>
        <v>-40940.44</v>
      </c>
      <c r="K41" s="53">
        <f t="shared" ref="K41" si="29">J41*104.6%</f>
        <v>-42823.700240000006</v>
      </c>
      <c r="L41" s="53">
        <v>-31497.710000000003</v>
      </c>
      <c r="M41" s="53"/>
      <c r="N41" s="53">
        <f t="shared" si="24"/>
        <v>-7642.2899999999972</v>
      </c>
    </row>
    <row r="42" spans="1:15" x14ac:dyDescent="0.3">
      <c r="A42" s="52" t="s">
        <v>563</v>
      </c>
      <c r="B42" s="52" t="s">
        <v>21</v>
      </c>
      <c r="C42" s="53">
        <v>-26537.02</v>
      </c>
      <c r="D42" s="53"/>
      <c r="E42" s="53">
        <f t="shared" si="2"/>
        <v>-26537.02</v>
      </c>
      <c r="F42" s="53"/>
      <c r="G42" s="53">
        <f t="shared" si="20"/>
        <v>-26537.02</v>
      </c>
      <c r="H42" s="221"/>
      <c r="I42" s="53">
        <f t="shared" si="21"/>
        <v>-26537.02</v>
      </c>
      <c r="J42" s="53">
        <f t="shared" si="22"/>
        <v>-27757.72292</v>
      </c>
      <c r="K42" s="53">
        <f t="shared" ref="K42" si="30">J42*104.6%</f>
        <v>-29034.578174320002</v>
      </c>
      <c r="L42" s="53">
        <v>-1830.93</v>
      </c>
      <c r="M42" s="53"/>
      <c r="N42" s="53">
        <f t="shared" si="24"/>
        <v>-24706.09</v>
      </c>
    </row>
    <row r="43" spans="1:15" x14ac:dyDescent="0.3">
      <c r="A43" s="52" t="s">
        <v>22</v>
      </c>
      <c r="B43" s="52" t="s">
        <v>23</v>
      </c>
      <c r="C43" s="53">
        <v>-7860</v>
      </c>
      <c r="D43" s="53"/>
      <c r="E43" s="53">
        <f t="shared" si="2"/>
        <v>-7860</v>
      </c>
      <c r="F43" s="53"/>
      <c r="G43" s="53">
        <f t="shared" si="20"/>
        <v>-7860</v>
      </c>
      <c r="H43" s="221"/>
      <c r="I43" s="53">
        <f t="shared" si="21"/>
        <v>-7860</v>
      </c>
      <c r="J43" s="53">
        <f t="shared" si="22"/>
        <v>-8221.56</v>
      </c>
      <c r="K43" s="53">
        <f t="shared" ref="K43" si="31">J43*104.6%</f>
        <v>-8599.7517599999992</v>
      </c>
      <c r="L43" s="53">
        <v>0</v>
      </c>
      <c r="M43" s="53"/>
      <c r="N43" s="53">
        <f t="shared" si="24"/>
        <v>-7860</v>
      </c>
    </row>
    <row r="44" spans="1:15" x14ac:dyDescent="0.3">
      <c r="A44" s="52" t="s">
        <v>576</v>
      </c>
      <c r="B44" s="52" t="s">
        <v>24</v>
      </c>
      <c r="C44" s="53">
        <v>-14747934.75</v>
      </c>
      <c r="D44" s="53"/>
      <c r="E44" s="53">
        <f t="shared" si="2"/>
        <v>-14747934.75</v>
      </c>
      <c r="F44" s="53"/>
      <c r="G44" s="53">
        <f t="shared" si="20"/>
        <v>-14747934.75</v>
      </c>
      <c r="H44" s="221"/>
      <c r="I44" s="53">
        <f t="shared" si="21"/>
        <v>-14747934.75</v>
      </c>
      <c r="J44" s="53">
        <f t="shared" si="22"/>
        <v>-15426339.748500001</v>
      </c>
      <c r="K44" s="53">
        <f t="shared" ref="K44" si="32">J44*104.6%</f>
        <v>-16135951.376931001</v>
      </c>
      <c r="L44" s="53">
        <v>-14623856.4</v>
      </c>
      <c r="M44" s="53"/>
      <c r="N44" s="53">
        <f t="shared" si="24"/>
        <v>-124078.34999999963</v>
      </c>
    </row>
    <row r="45" spans="1:15" x14ac:dyDescent="0.3">
      <c r="A45" s="52" t="s">
        <v>1334</v>
      </c>
      <c r="B45" s="52" t="s">
        <v>1335</v>
      </c>
      <c r="C45" s="53"/>
      <c r="D45" s="53"/>
      <c r="E45" s="53"/>
      <c r="F45" s="53"/>
      <c r="G45" s="53">
        <v>0</v>
      </c>
      <c r="H45" s="221"/>
      <c r="I45" s="53"/>
      <c r="J45" s="53"/>
      <c r="K45" s="53"/>
      <c r="L45" s="53">
        <v>-125.44</v>
      </c>
      <c r="M45" s="53"/>
      <c r="N45" s="53">
        <f t="shared" si="24"/>
        <v>125.44</v>
      </c>
    </row>
    <row r="46" spans="1:15" ht="13.5" thickBot="1" x14ac:dyDescent="0.35">
      <c r="A46" s="52" t="s">
        <v>618</v>
      </c>
      <c r="B46" s="52" t="s">
        <v>619</v>
      </c>
      <c r="C46" s="53">
        <v>0</v>
      </c>
      <c r="D46" s="53"/>
      <c r="E46" s="53">
        <f t="shared" si="2"/>
        <v>0</v>
      </c>
      <c r="F46" s="53"/>
      <c r="G46" s="53">
        <f>E46+F46</f>
        <v>0</v>
      </c>
      <c r="H46" s="221"/>
      <c r="I46" s="53">
        <f>G46+H46</f>
        <v>0</v>
      </c>
      <c r="J46" s="53">
        <f>C46*104.6%</f>
        <v>0</v>
      </c>
      <c r="K46" s="53">
        <f t="shared" ref="K46" si="33">J46*104.6%</f>
        <v>0</v>
      </c>
      <c r="L46" s="53">
        <v>691782.91</v>
      </c>
      <c r="M46" s="53"/>
      <c r="N46" s="53">
        <f t="shared" si="24"/>
        <v>-691782.91</v>
      </c>
    </row>
    <row r="47" spans="1:15" s="77" customFormat="1" ht="13.5" thickBot="1" x14ac:dyDescent="0.35">
      <c r="A47" s="57" t="s">
        <v>68</v>
      </c>
      <c r="B47" s="57"/>
      <c r="C47" s="59">
        <f>SUM(C36:C46)</f>
        <v>-18988935.16</v>
      </c>
      <c r="D47" s="59">
        <f t="shared" ref="D47:N47" si="34">SUM(D36:D46)</f>
        <v>0</v>
      </c>
      <c r="E47" s="59">
        <f t="shared" si="34"/>
        <v>-18988935.16</v>
      </c>
      <c r="F47" s="59">
        <f t="shared" si="34"/>
        <v>0</v>
      </c>
      <c r="G47" s="59">
        <f t="shared" si="34"/>
        <v>-18988935.16</v>
      </c>
      <c r="H47" s="222">
        <f t="shared" si="34"/>
        <v>0</v>
      </c>
      <c r="I47" s="59">
        <f t="shared" si="34"/>
        <v>-18988935.16</v>
      </c>
      <c r="J47" s="59">
        <f t="shared" si="34"/>
        <v>-19862426.177360002</v>
      </c>
      <c r="K47" s="59">
        <f t="shared" si="34"/>
        <v>-20776097.781518564</v>
      </c>
      <c r="L47" s="59">
        <f t="shared" si="34"/>
        <v>-16590238.930000003</v>
      </c>
      <c r="M47" s="59">
        <f t="shared" si="34"/>
        <v>0</v>
      </c>
      <c r="N47" s="59">
        <f t="shared" si="34"/>
        <v>-2398696.2299999995</v>
      </c>
      <c r="O47" s="76"/>
    </row>
    <row r="48" spans="1:15" s="77" customFormat="1" ht="13.5" thickTop="1" x14ac:dyDescent="0.3">
      <c r="A48" s="60"/>
      <c r="B48" s="60"/>
      <c r="C48" s="78"/>
      <c r="D48" s="78"/>
      <c r="E48" s="53">
        <f t="shared" si="2"/>
        <v>0</v>
      </c>
      <c r="F48" s="62"/>
      <c r="G48" s="62"/>
      <c r="H48" s="224"/>
      <c r="I48" s="62"/>
      <c r="J48" s="78"/>
      <c r="K48" s="78"/>
      <c r="L48" s="67"/>
      <c r="M48" s="67"/>
      <c r="N48" s="67"/>
      <c r="O48" s="76"/>
    </row>
    <row r="49" spans="1:15" x14ac:dyDescent="0.3">
      <c r="A49" s="51" t="s">
        <v>74</v>
      </c>
      <c r="B49" s="52"/>
      <c r="C49" s="53"/>
      <c r="D49" s="53"/>
      <c r="E49" s="53">
        <f t="shared" si="2"/>
        <v>0</v>
      </c>
      <c r="F49" s="53"/>
      <c r="G49" s="53"/>
      <c r="H49" s="221"/>
      <c r="I49" s="53"/>
      <c r="J49" s="53"/>
      <c r="K49" s="53"/>
      <c r="L49" s="53"/>
      <c r="M49" s="53"/>
      <c r="N49" s="53"/>
    </row>
    <row r="50" spans="1:15" x14ac:dyDescent="0.3">
      <c r="A50" s="52" t="s">
        <v>446</v>
      </c>
      <c r="B50" s="52" t="s">
        <v>677</v>
      </c>
      <c r="C50" s="53">
        <v>-2800000</v>
      </c>
      <c r="D50" s="53"/>
      <c r="E50" s="53">
        <f t="shared" si="2"/>
        <v>-2800000</v>
      </c>
      <c r="F50" s="53"/>
      <c r="G50" s="53">
        <f>E50+F50</f>
        <v>-2800000</v>
      </c>
      <c r="H50" s="221"/>
      <c r="I50" s="53">
        <f>G50+H50</f>
        <v>-2800000</v>
      </c>
      <c r="J50" s="53">
        <v>-3100000</v>
      </c>
      <c r="K50" s="79">
        <v>-3200000</v>
      </c>
      <c r="L50" s="53">
        <v>-1773925.95</v>
      </c>
      <c r="M50" s="53"/>
      <c r="N50" s="53">
        <f t="shared" ref="N50:N51" si="35">I50-L50-M50</f>
        <v>-1026074.05</v>
      </c>
    </row>
    <row r="51" spans="1:15" ht="13.5" thickBot="1" x14ac:dyDescent="0.35">
      <c r="A51" s="56" t="s">
        <v>574</v>
      </c>
      <c r="B51" s="56" t="s">
        <v>25</v>
      </c>
      <c r="C51" s="53">
        <v>-158224000</v>
      </c>
      <c r="D51" s="69"/>
      <c r="E51" s="69">
        <f t="shared" si="2"/>
        <v>-158224000</v>
      </c>
      <c r="F51" s="69"/>
      <c r="G51" s="69">
        <f>E51+F51</f>
        <v>-158224000</v>
      </c>
      <c r="H51" s="225"/>
      <c r="I51" s="53">
        <f>G51+H51</f>
        <v>-158224000</v>
      </c>
      <c r="J51" s="69">
        <v>-169850000</v>
      </c>
      <c r="K51" s="79">
        <v>-179768000</v>
      </c>
      <c r="L51" s="53">
        <v>-148445000</v>
      </c>
      <c r="M51" s="53"/>
      <c r="N51" s="53">
        <f t="shared" si="35"/>
        <v>-9779000</v>
      </c>
    </row>
    <row r="52" spans="1:15" s="77" customFormat="1" ht="13.5" thickBot="1" x14ac:dyDescent="0.35">
      <c r="A52" s="57" t="s">
        <v>68</v>
      </c>
      <c r="B52" s="57"/>
      <c r="C52" s="59">
        <f t="shared" ref="C52" si="36">SUM(C50:C51)</f>
        <v>-161024000</v>
      </c>
      <c r="D52" s="59"/>
      <c r="E52" s="59">
        <f>SUM(E50:E51)</f>
        <v>-161024000</v>
      </c>
      <c r="F52" s="59">
        <f t="shared" ref="F52:N52" si="37">SUM(F50:F51)</f>
        <v>0</v>
      </c>
      <c r="G52" s="59">
        <f t="shared" si="37"/>
        <v>-161024000</v>
      </c>
      <c r="H52" s="222">
        <f t="shared" si="37"/>
        <v>0</v>
      </c>
      <c r="I52" s="59">
        <f t="shared" si="37"/>
        <v>-161024000</v>
      </c>
      <c r="J52" s="59">
        <f t="shared" si="37"/>
        <v>-172950000</v>
      </c>
      <c r="K52" s="59">
        <f t="shared" si="37"/>
        <v>-182968000</v>
      </c>
      <c r="L52" s="59">
        <f t="shared" si="37"/>
        <v>-150218925.94999999</v>
      </c>
      <c r="M52" s="59">
        <f t="shared" si="37"/>
        <v>0</v>
      </c>
      <c r="N52" s="59">
        <f t="shared" si="37"/>
        <v>-10805074.050000001</v>
      </c>
      <c r="O52" s="76"/>
    </row>
    <row r="53" spans="1:15" s="77" customFormat="1" ht="14" thickTop="1" thickBot="1" x14ac:dyDescent="0.35">
      <c r="A53" s="74"/>
      <c r="B53" s="74"/>
      <c r="C53" s="80"/>
      <c r="D53" s="80"/>
      <c r="E53" s="62">
        <f t="shared" si="2"/>
        <v>0</v>
      </c>
      <c r="F53" s="79"/>
      <c r="G53" s="79"/>
      <c r="H53" s="226"/>
      <c r="I53" s="79"/>
      <c r="J53" s="80"/>
      <c r="K53" s="80"/>
      <c r="L53" s="67"/>
      <c r="M53" s="67"/>
      <c r="N53" s="67"/>
      <c r="O53" s="76"/>
    </row>
    <row r="54" spans="1:15" s="77" customFormat="1" ht="14" thickTop="1" thickBot="1" x14ac:dyDescent="0.35">
      <c r="A54" s="81" t="s">
        <v>81</v>
      </c>
      <c r="B54" s="81"/>
      <c r="C54" s="82">
        <f>C52+C47+C33+C25+C20+C14+C10</f>
        <v>-192976935.16</v>
      </c>
      <c r="D54" s="82">
        <f t="shared" ref="D54:N54" si="38">D52+D47+D33+D25+D20+D14+D10</f>
        <v>0</v>
      </c>
      <c r="E54" s="82">
        <f t="shared" si="38"/>
        <v>-192976935.16</v>
      </c>
      <c r="F54" s="82">
        <f t="shared" si="38"/>
        <v>0</v>
      </c>
      <c r="G54" s="82">
        <f t="shared" si="38"/>
        <v>-192976935.16</v>
      </c>
      <c r="H54" s="227">
        <f t="shared" si="38"/>
        <v>4420619.24</v>
      </c>
      <c r="I54" s="82">
        <f t="shared" si="38"/>
        <v>-188556315.92000002</v>
      </c>
      <c r="J54" s="82">
        <f t="shared" si="38"/>
        <v>-206372770.17736</v>
      </c>
      <c r="K54" s="82">
        <f t="shared" si="38"/>
        <v>-217928217.60551858</v>
      </c>
      <c r="L54" s="82">
        <f t="shared" si="38"/>
        <v>-171439096</v>
      </c>
      <c r="M54" s="82">
        <f t="shared" si="38"/>
        <v>0</v>
      </c>
      <c r="N54" s="82">
        <f t="shared" si="38"/>
        <v>-17117219.920000002</v>
      </c>
      <c r="O54" s="76"/>
    </row>
    <row r="55" spans="1:15" s="77" customFormat="1" ht="13.5" thickTop="1" x14ac:dyDescent="0.3">
      <c r="A55" s="60"/>
      <c r="B55" s="60"/>
      <c r="C55" s="78"/>
      <c r="D55" s="78"/>
      <c r="E55" s="53">
        <f t="shared" si="2"/>
        <v>0</v>
      </c>
      <c r="F55" s="62"/>
      <c r="G55" s="62"/>
      <c r="H55" s="224"/>
      <c r="I55" s="62"/>
      <c r="J55" s="78"/>
      <c r="K55" s="78"/>
      <c r="L55" s="67"/>
      <c r="M55" s="67"/>
      <c r="N55" s="67"/>
      <c r="O55" s="76"/>
    </row>
    <row r="56" spans="1:15" s="77" customFormat="1" ht="13.5" thickBot="1" x14ac:dyDescent="0.35">
      <c r="A56" s="55"/>
      <c r="B56" s="55"/>
      <c r="C56" s="83"/>
      <c r="D56" s="83"/>
      <c r="E56" s="69">
        <f t="shared" si="2"/>
        <v>0</v>
      </c>
      <c r="F56" s="69"/>
      <c r="G56" s="69"/>
      <c r="H56" s="225"/>
      <c r="I56" s="69"/>
      <c r="J56" s="83"/>
      <c r="K56" s="83"/>
      <c r="L56" s="67"/>
      <c r="M56" s="67"/>
      <c r="N56" s="67"/>
      <c r="O56" s="76"/>
    </row>
    <row r="57" spans="1:15" s="77" customFormat="1" x14ac:dyDescent="0.3">
      <c r="A57" s="125" t="s">
        <v>76</v>
      </c>
      <c r="B57" s="125"/>
      <c r="C57" s="125"/>
      <c r="D57" s="125"/>
      <c r="E57" s="156">
        <f t="shared" si="2"/>
        <v>0</v>
      </c>
      <c r="F57" s="156"/>
      <c r="G57" s="156"/>
      <c r="H57" s="228"/>
      <c r="I57" s="156"/>
      <c r="J57" s="125"/>
      <c r="K57" s="125"/>
      <c r="L57" s="67"/>
      <c r="M57" s="67"/>
      <c r="N57" s="67"/>
      <c r="O57" s="76"/>
    </row>
    <row r="58" spans="1:15" x14ac:dyDescent="0.3">
      <c r="A58" s="60" t="s">
        <v>77</v>
      </c>
      <c r="B58" s="61"/>
      <c r="C58" s="62"/>
      <c r="D58" s="62"/>
      <c r="E58" s="53">
        <f t="shared" si="2"/>
        <v>0</v>
      </c>
      <c r="F58" s="62"/>
      <c r="G58" s="53">
        <f t="shared" ref="G58:G65" si="39">E58+F58</f>
        <v>0</v>
      </c>
      <c r="H58" s="224"/>
      <c r="I58" s="62"/>
      <c r="J58" s="62"/>
      <c r="K58" s="62"/>
      <c r="L58" s="53"/>
      <c r="M58" s="53"/>
      <c r="N58" s="53"/>
    </row>
    <row r="59" spans="1:15" x14ac:dyDescent="0.3">
      <c r="A59" s="52" t="s">
        <v>585</v>
      </c>
      <c r="B59" s="52" t="s">
        <v>600</v>
      </c>
      <c r="C59" s="53">
        <v>183153.17947999999</v>
      </c>
      <c r="D59" s="53"/>
      <c r="E59" s="53">
        <f t="shared" si="2"/>
        <v>183153.17947999999</v>
      </c>
      <c r="F59" s="53"/>
      <c r="G59" s="53">
        <f t="shared" si="39"/>
        <v>183153.17947999999</v>
      </c>
      <c r="H59" s="221">
        <v>-12750.86689865022</v>
      </c>
      <c r="I59" s="53">
        <f t="shared" ref="I59:I67" si="40">G59+H59</f>
        <v>170402.31258134978</v>
      </c>
      <c r="J59" s="53">
        <v>55828.69</v>
      </c>
      <c r="K59" s="53">
        <v>0</v>
      </c>
      <c r="L59" s="53">
        <v>98929.78</v>
      </c>
      <c r="M59" s="53"/>
      <c r="N59" s="53">
        <f t="shared" ref="N59:N67" si="41">I59-L59-M59</f>
        <v>71472.532581349777</v>
      </c>
    </row>
    <row r="60" spans="1:15" x14ac:dyDescent="0.3">
      <c r="A60" s="52" t="s">
        <v>587</v>
      </c>
      <c r="B60" s="52" t="s">
        <v>34</v>
      </c>
      <c r="C60" s="53">
        <v>1197648.2207722508</v>
      </c>
      <c r="D60" s="53"/>
      <c r="E60" s="53">
        <f t="shared" si="2"/>
        <v>1197648.2207722508</v>
      </c>
      <c r="F60" s="53"/>
      <c r="G60" s="53">
        <f t="shared" si="39"/>
        <v>1197648.2207722508</v>
      </c>
      <c r="H60" s="221">
        <v>-31996.112989412428</v>
      </c>
      <c r="I60" s="53">
        <f t="shared" si="40"/>
        <v>1165652.1077828384</v>
      </c>
      <c r="J60" s="53">
        <f t="shared" ref="J60:J65" si="42">C60*104.6%</f>
        <v>1252740.0389277744</v>
      </c>
      <c r="K60" s="53">
        <f>J60*104.6%</f>
        <v>1310366.0807184521</v>
      </c>
      <c r="L60" s="53">
        <v>676737.92</v>
      </c>
      <c r="M60" s="53"/>
      <c r="N60" s="53">
        <f t="shared" si="41"/>
        <v>488914.18778283836</v>
      </c>
    </row>
    <row r="61" spans="1:15" x14ac:dyDescent="0.3">
      <c r="A61" s="52" t="s">
        <v>588</v>
      </c>
      <c r="B61" s="52" t="s">
        <v>35</v>
      </c>
      <c r="C61" s="53">
        <v>403628.19418691163</v>
      </c>
      <c r="D61" s="53"/>
      <c r="E61" s="53">
        <f t="shared" si="2"/>
        <v>403628.19418691163</v>
      </c>
      <c r="F61" s="53"/>
      <c r="G61" s="53">
        <f t="shared" si="39"/>
        <v>403628.19418691163</v>
      </c>
      <c r="H61" s="221">
        <v>328455.66654916329</v>
      </c>
      <c r="I61" s="53">
        <f t="shared" si="40"/>
        <v>732083.86073607486</v>
      </c>
      <c r="J61" s="53">
        <f t="shared" si="42"/>
        <v>422195.0911195096</v>
      </c>
      <c r="K61" s="53">
        <f t="shared" ref="K61" si="43">J61*104.6%</f>
        <v>441616.06531100709</v>
      </c>
      <c r="L61" s="53">
        <v>425022.96</v>
      </c>
      <c r="M61" s="53"/>
      <c r="N61" s="53">
        <f t="shared" si="41"/>
        <v>307060.90073607484</v>
      </c>
    </row>
    <row r="62" spans="1:15" x14ac:dyDescent="0.3">
      <c r="A62" s="52" t="s">
        <v>589</v>
      </c>
      <c r="B62" s="52" t="s">
        <v>36</v>
      </c>
      <c r="C62" s="53">
        <v>1095118.5799760658</v>
      </c>
      <c r="D62" s="53"/>
      <c r="E62" s="53">
        <f t="shared" si="2"/>
        <v>1095118.5799760658</v>
      </c>
      <c r="F62" s="53"/>
      <c r="G62" s="53">
        <f t="shared" si="39"/>
        <v>1095118.5799760658</v>
      </c>
      <c r="H62" s="221">
        <v>-91180.28000646313</v>
      </c>
      <c r="I62" s="53">
        <f t="shared" si="40"/>
        <v>1003938.2999696026</v>
      </c>
      <c r="J62" s="53">
        <f t="shared" si="42"/>
        <v>1145494.0346549649</v>
      </c>
      <c r="K62" s="53">
        <f t="shared" ref="K62" si="44">J62*104.6%</f>
        <v>1198186.7602490934</v>
      </c>
      <c r="L62" s="53">
        <v>582852.39</v>
      </c>
      <c r="M62" s="53"/>
      <c r="N62" s="53">
        <f t="shared" si="41"/>
        <v>421085.9099696026</v>
      </c>
    </row>
    <row r="63" spans="1:15" x14ac:dyDescent="0.3">
      <c r="A63" s="52" t="s">
        <v>591</v>
      </c>
      <c r="B63" s="52" t="s">
        <v>37</v>
      </c>
      <c r="C63" s="53">
        <v>1931091.9540495356</v>
      </c>
      <c r="D63" s="53"/>
      <c r="E63" s="53">
        <f t="shared" si="2"/>
        <v>1931091.9540495356</v>
      </c>
      <c r="F63" s="53"/>
      <c r="G63" s="53">
        <f t="shared" si="39"/>
        <v>1931091.9540495356</v>
      </c>
      <c r="H63" s="221">
        <v>76072.823224165186</v>
      </c>
      <c r="I63" s="53">
        <f t="shared" si="40"/>
        <v>2007164.7772737008</v>
      </c>
      <c r="J63" s="53">
        <f t="shared" si="42"/>
        <v>2019922.1839358143</v>
      </c>
      <c r="K63" s="53">
        <f t="shared" ref="K63" si="45">J63*104.6%</f>
        <v>2112838.604396862</v>
      </c>
      <c r="L63" s="53">
        <v>1165291.52</v>
      </c>
      <c r="M63" s="53"/>
      <c r="N63" s="53">
        <f t="shared" si="41"/>
        <v>841873.25727370079</v>
      </c>
    </row>
    <row r="64" spans="1:15" x14ac:dyDescent="0.3">
      <c r="A64" s="52" t="s">
        <v>590</v>
      </c>
      <c r="B64" s="52" t="s">
        <v>38</v>
      </c>
      <c r="C64" s="53">
        <v>11518717.3747821</v>
      </c>
      <c r="D64" s="53"/>
      <c r="E64" s="53">
        <f t="shared" si="2"/>
        <v>11518717.3747821</v>
      </c>
      <c r="F64" s="53"/>
      <c r="G64" s="53">
        <f t="shared" si="39"/>
        <v>11518717.3747821</v>
      </c>
      <c r="H64" s="221">
        <v>565781.33628604503</v>
      </c>
      <c r="I64" s="53">
        <f t="shared" si="40"/>
        <v>12084498.711068146</v>
      </c>
      <c r="J64" s="53">
        <f t="shared" si="42"/>
        <v>12048578.374022078</v>
      </c>
      <c r="K64" s="53">
        <f t="shared" ref="K64" si="46">J64*104.6%</f>
        <v>12602812.979227094</v>
      </c>
      <c r="L64" s="53">
        <v>7015848.4399999995</v>
      </c>
      <c r="M64" s="53"/>
      <c r="N64" s="53">
        <f t="shared" si="41"/>
        <v>5068650.2710681465</v>
      </c>
    </row>
    <row r="65" spans="1:15" x14ac:dyDescent="0.3">
      <c r="A65" s="52" t="s">
        <v>586</v>
      </c>
      <c r="B65" s="52" t="s">
        <v>39</v>
      </c>
      <c r="C65" s="53">
        <v>5663533.3158165142</v>
      </c>
      <c r="D65" s="53"/>
      <c r="E65" s="53">
        <f t="shared" si="2"/>
        <v>5663533.3158165142</v>
      </c>
      <c r="F65" s="53"/>
      <c r="G65" s="53">
        <f t="shared" si="39"/>
        <v>5663533.3158165142</v>
      </c>
      <c r="H65" s="221">
        <v>-1191769.8189157872</v>
      </c>
      <c r="I65" s="53">
        <f t="shared" si="40"/>
        <v>4471763.496900727</v>
      </c>
      <c r="J65" s="53">
        <f t="shared" si="42"/>
        <v>5924055.8483440736</v>
      </c>
      <c r="K65" s="53">
        <f t="shared" ref="K65" si="47">J65*104.6%</f>
        <v>6196562.4173679017</v>
      </c>
      <c r="L65" s="53">
        <v>2596153.61</v>
      </c>
      <c r="M65" s="53"/>
      <c r="N65" s="53">
        <f t="shared" si="41"/>
        <v>1875609.8869007272</v>
      </c>
    </row>
    <row r="66" spans="1:15" x14ac:dyDescent="0.3">
      <c r="A66" s="56" t="s">
        <v>1370</v>
      </c>
      <c r="B66" s="56" t="s">
        <v>1336</v>
      </c>
      <c r="C66" s="53"/>
      <c r="D66" s="53"/>
      <c r="E66" s="53"/>
      <c r="F66" s="53"/>
      <c r="G66" s="53">
        <v>0</v>
      </c>
      <c r="H66" s="221">
        <v>1073168.9708304172</v>
      </c>
      <c r="I66" s="53">
        <f t="shared" si="40"/>
        <v>1073168.9708304172</v>
      </c>
      <c r="J66" s="53"/>
      <c r="K66" s="53"/>
      <c r="L66" s="53">
        <v>623045.36</v>
      </c>
      <c r="M66" s="53"/>
      <c r="N66" s="53">
        <f t="shared" si="41"/>
        <v>450123.61083041725</v>
      </c>
    </row>
    <row r="67" spans="1:15" ht="13.5" thickBot="1" x14ac:dyDescent="0.35">
      <c r="A67" s="56" t="s">
        <v>671</v>
      </c>
      <c r="B67" s="56" t="s">
        <v>40</v>
      </c>
      <c r="C67" s="53">
        <v>7109.1809366607677</v>
      </c>
      <c r="D67" s="53"/>
      <c r="E67" s="53">
        <f t="shared" si="2"/>
        <v>7109.1809366607677</v>
      </c>
      <c r="F67" s="53"/>
      <c r="G67" s="53">
        <f>E67+F67</f>
        <v>7109.1809366607677</v>
      </c>
      <c r="H67" s="221">
        <v>-7109.1809366607677</v>
      </c>
      <c r="I67" s="53">
        <f t="shared" si="40"/>
        <v>0</v>
      </c>
      <c r="J67" s="53">
        <f>C67*104.6%</f>
        <v>7436.2032597471634</v>
      </c>
      <c r="K67" s="53">
        <f t="shared" ref="K67" si="48">J67*104.6%</f>
        <v>7778.2686096955331</v>
      </c>
      <c r="L67" s="53">
        <v>0</v>
      </c>
      <c r="M67" s="53"/>
      <c r="N67" s="53">
        <f t="shared" si="41"/>
        <v>0</v>
      </c>
    </row>
    <row r="68" spans="1:15" s="77" customFormat="1" ht="13.5" thickBot="1" x14ac:dyDescent="0.35">
      <c r="A68" s="57" t="s">
        <v>68</v>
      </c>
      <c r="B68" s="57"/>
      <c r="C68" s="59">
        <f t="shared" ref="C68:N68" si="49">SUM(C59:C67)</f>
        <v>22000000.000000041</v>
      </c>
      <c r="D68" s="59">
        <f t="shared" si="49"/>
        <v>0</v>
      </c>
      <c r="E68" s="59">
        <f t="shared" si="49"/>
        <v>22000000.000000041</v>
      </c>
      <c r="F68" s="59">
        <f t="shared" si="49"/>
        <v>0</v>
      </c>
      <c r="G68" s="59">
        <f t="shared" si="49"/>
        <v>22000000.000000041</v>
      </c>
      <c r="H68" s="222">
        <f t="shared" si="49"/>
        <v>708672.53714281705</v>
      </c>
      <c r="I68" s="59">
        <f t="shared" si="49"/>
        <v>22708672.537142858</v>
      </c>
      <c r="J68" s="59">
        <f t="shared" si="49"/>
        <v>22876250.464263961</v>
      </c>
      <c r="K68" s="59">
        <f t="shared" si="49"/>
        <v>23870161.175880104</v>
      </c>
      <c r="L68" s="59">
        <f t="shared" si="49"/>
        <v>13183881.979999999</v>
      </c>
      <c r="M68" s="59">
        <f t="shared" si="49"/>
        <v>0</v>
      </c>
      <c r="N68" s="59">
        <f t="shared" si="49"/>
        <v>9524790.5571428575</v>
      </c>
      <c r="O68" s="76"/>
    </row>
    <row r="69" spans="1:15" s="77" customFormat="1" ht="13.5" thickTop="1" x14ac:dyDescent="0.3">
      <c r="A69" s="74"/>
      <c r="B69" s="74"/>
      <c r="C69" s="80"/>
      <c r="D69" s="80"/>
      <c r="E69" s="53">
        <f t="shared" si="2"/>
        <v>0</v>
      </c>
      <c r="F69" s="79"/>
      <c r="G69" s="79"/>
      <c r="H69" s="226"/>
      <c r="I69" s="79"/>
      <c r="J69" s="80"/>
      <c r="K69" s="80"/>
      <c r="L69" s="67"/>
      <c r="M69" s="67"/>
      <c r="N69" s="67"/>
      <c r="O69" s="76"/>
    </row>
    <row r="70" spans="1:15" x14ac:dyDescent="0.3">
      <c r="A70" s="55" t="s">
        <v>460</v>
      </c>
      <c r="B70" s="56"/>
      <c r="C70" s="53"/>
      <c r="D70" s="53"/>
      <c r="E70" s="53">
        <f t="shared" si="2"/>
        <v>0</v>
      </c>
      <c r="F70" s="53"/>
      <c r="G70" s="53"/>
      <c r="H70" s="221"/>
      <c r="I70" s="53"/>
      <c r="J70" s="53"/>
      <c r="K70" s="53"/>
      <c r="L70" s="53"/>
      <c r="M70" s="53"/>
      <c r="N70" s="53"/>
    </row>
    <row r="71" spans="1:15" x14ac:dyDescent="0.3">
      <c r="A71" s="55"/>
      <c r="B71" s="55" t="s">
        <v>461</v>
      </c>
      <c r="C71" s="53"/>
      <c r="D71" s="53"/>
      <c r="E71" s="53">
        <f t="shared" si="2"/>
        <v>0</v>
      </c>
      <c r="F71" s="53"/>
      <c r="G71" s="53"/>
      <c r="H71" s="221"/>
      <c r="I71" s="53"/>
      <c r="J71" s="53"/>
      <c r="K71" s="53"/>
      <c r="L71" s="53"/>
      <c r="M71" s="53"/>
      <c r="N71" s="53"/>
    </row>
    <row r="72" spans="1:15" x14ac:dyDescent="0.3">
      <c r="A72" s="52" t="s">
        <v>447</v>
      </c>
      <c r="B72" s="52" t="s">
        <v>1280</v>
      </c>
      <c r="C72" s="53">
        <v>35000</v>
      </c>
      <c r="D72" s="53"/>
      <c r="E72" s="53">
        <f t="shared" si="2"/>
        <v>35000</v>
      </c>
      <c r="F72" s="53"/>
      <c r="G72" s="53">
        <f t="shared" ref="G72:G100" si="50">E72+F72</f>
        <v>35000</v>
      </c>
      <c r="H72" s="221">
        <v>-20000</v>
      </c>
      <c r="I72" s="53">
        <f t="shared" ref="I72:I100" si="51">G72+H72</f>
        <v>15000</v>
      </c>
      <c r="J72" s="53">
        <f t="shared" ref="J72:J100" si="52">C72*104.6%</f>
        <v>36610</v>
      </c>
      <c r="K72" s="53">
        <f t="shared" ref="K72" si="53">J72*104.6%</f>
        <v>38294.060000000005</v>
      </c>
      <c r="L72" s="53">
        <v>0</v>
      </c>
      <c r="M72" s="53"/>
      <c r="N72" s="53">
        <f t="shared" ref="N72:N100" si="54">I72-L72-M72</f>
        <v>15000</v>
      </c>
    </row>
    <row r="73" spans="1:15" x14ac:dyDescent="0.3">
      <c r="A73" s="52" t="s">
        <v>1215</v>
      </c>
      <c r="B73" s="52" t="s">
        <v>236</v>
      </c>
      <c r="C73" s="149">
        <v>85000</v>
      </c>
      <c r="D73" s="53"/>
      <c r="E73" s="53">
        <f t="shared" si="2"/>
        <v>85000</v>
      </c>
      <c r="F73" s="53"/>
      <c r="G73" s="53">
        <f t="shared" si="50"/>
        <v>85000</v>
      </c>
      <c r="H73" s="221">
        <f>-50000-10000</f>
        <v>-60000</v>
      </c>
      <c r="I73" s="53">
        <f t="shared" si="51"/>
        <v>25000</v>
      </c>
      <c r="J73" s="53">
        <f t="shared" si="52"/>
        <v>88910</v>
      </c>
      <c r="K73" s="53">
        <f t="shared" ref="K73" si="55">J73*104.6%</f>
        <v>92999.86</v>
      </c>
      <c r="L73" s="53">
        <v>0</v>
      </c>
      <c r="M73" s="53"/>
      <c r="N73" s="53">
        <f t="shared" si="54"/>
        <v>25000</v>
      </c>
    </row>
    <row r="74" spans="1:15" x14ac:dyDescent="0.3">
      <c r="A74" s="52" t="s">
        <v>449</v>
      </c>
      <c r="B74" s="52" t="s">
        <v>46</v>
      </c>
      <c r="C74" s="53">
        <v>70000</v>
      </c>
      <c r="D74" s="53"/>
      <c r="E74" s="53">
        <f t="shared" si="2"/>
        <v>70000</v>
      </c>
      <c r="F74" s="53"/>
      <c r="G74" s="53">
        <f t="shared" si="50"/>
        <v>70000</v>
      </c>
      <c r="H74" s="221"/>
      <c r="I74" s="53">
        <f t="shared" si="51"/>
        <v>70000</v>
      </c>
      <c r="J74" s="53">
        <f t="shared" si="52"/>
        <v>73220</v>
      </c>
      <c r="K74" s="53">
        <f t="shared" ref="K74" si="56">J74*104.6%</f>
        <v>76588.12000000001</v>
      </c>
      <c r="L74" s="53">
        <v>63532</v>
      </c>
      <c r="M74" s="53"/>
      <c r="N74" s="53">
        <f t="shared" si="54"/>
        <v>6468</v>
      </c>
    </row>
    <row r="75" spans="1:15" x14ac:dyDescent="0.3">
      <c r="A75" s="52" t="s">
        <v>43</v>
      </c>
      <c r="B75" s="52" t="s">
        <v>44</v>
      </c>
      <c r="C75" s="53">
        <v>95000</v>
      </c>
      <c r="D75" s="53"/>
      <c r="E75" s="53">
        <f t="shared" si="2"/>
        <v>95000</v>
      </c>
      <c r="F75" s="53"/>
      <c r="G75" s="53">
        <f t="shared" si="50"/>
        <v>95000</v>
      </c>
      <c r="H75" s="221">
        <v>150000</v>
      </c>
      <c r="I75" s="53">
        <f t="shared" si="51"/>
        <v>245000</v>
      </c>
      <c r="J75" s="53">
        <f t="shared" si="52"/>
        <v>99370</v>
      </c>
      <c r="K75" s="53">
        <f t="shared" ref="K75" si="57">J75*104.6%</f>
        <v>103941.02</v>
      </c>
      <c r="L75" s="53">
        <v>234216.83000000002</v>
      </c>
      <c r="M75" s="53"/>
      <c r="N75" s="53">
        <f t="shared" si="54"/>
        <v>10783.169999999984</v>
      </c>
    </row>
    <row r="76" spans="1:15" s="77" customFormat="1" x14ac:dyDescent="0.3">
      <c r="A76" s="52" t="s">
        <v>1216</v>
      </c>
      <c r="B76" s="52" t="s">
        <v>42</v>
      </c>
      <c r="C76" s="149">
        <v>100000</v>
      </c>
      <c r="D76" s="53"/>
      <c r="E76" s="53">
        <f t="shared" si="2"/>
        <v>100000</v>
      </c>
      <c r="F76" s="53"/>
      <c r="G76" s="53">
        <f t="shared" si="50"/>
        <v>100000</v>
      </c>
      <c r="H76" s="221">
        <f>-50000-10000-9991</f>
        <v>-69991</v>
      </c>
      <c r="I76" s="53">
        <f t="shared" si="51"/>
        <v>30009</v>
      </c>
      <c r="J76" s="53">
        <f t="shared" si="52"/>
        <v>104600</v>
      </c>
      <c r="K76" s="53">
        <f t="shared" ref="K76" si="58">J76*104.6%</f>
        <v>109411.6</v>
      </c>
      <c r="L76" s="53">
        <v>9</v>
      </c>
      <c r="M76" s="53"/>
      <c r="N76" s="53">
        <f t="shared" si="54"/>
        <v>30000</v>
      </c>
      <c r="O76" s="64"/>
    </row>
    <row r="77" spans="1:15" x14ac:dyDescent="0.3">
      <c r="A77" s="52"/>
      <c r="B77" s="52"/>
      <c r="C77" s="53">
        <v>0</v>
      </c>
      <c r="D77" s="53"/>
      <c r="E77" s="53">
        <f t="shared" si="2"/>
        <v>0</v>
      </c>
      <c r="F77" s="53"/>
      <c r="G77" s="53">
        <f t="shared" si="50"/>
        <v>0</v>
      </c>
      <c r="H77" s="221"/>
      <c r="I77" s="53">
        <f t="shared" si="51"/>
        <v>0</v>
      </c>
      <c r="J77" s="53">
        <f t="shared" si="52"/>
        <v>0</v>
      </c>
      <c r="K77" s="53">
        <f t="shared" ref="K77" si="59">J77*104.6%</f>
        <v>0</v>
      </c>
      <c r="L77" s="53">
        <v>0</v>
      </c>
      <c r="M77" s="53"/>
      <c r="N77" s="53">
        <f t="shared" si="54"/>
        <v>0</v>
      </c>
    </row>
    <row r="78" spans="1:15" x14ac:dyDescent="0.3">
      <c r="A78" s="52" t="s">
        <v>52</v>
      </c>
      <c r="B78" s="52" t="s">
        <v>53</v>
      </c>
      <c r="C78" s="53">
        <v>120000</v>
      </c>
      <c r="D78" s="53"/>
      <c r="E78" s="53">
        <f t="shared" si="2"/>
        <v>120000</v>
      </c>
      <c r="F78" s="53"/>
      <c r="G78" s="53">
        <f t="shared" si="50"/>
        <v>120000</v>
      </c>
      <c r="H78" s="221">
        <f>80000+10000+6120+10000+9991</f>
        <v>116111</v>
      </c>
      <c r="I78" s="53">
        <f t="shared" si="51"/>
        <v>236111</v>
      </c>
      <c r="J78" s="53">
        <f t="shared" si="52"/>
        <v>125520</v>
      </c>
      <c r="K78" s="53">
        <f t="shared" ref="K78" si="60">J78*104.6%</f>
        <v>131293.92000000001</v>
      </c>
      <c r="L78" s="53">
        <v>131301.94</v>
      </c>
      <c r="M78" s="53"/>
      <c r="N78" s="53">
        <f t="shared" si="54"/>
        <v>104809.06</v>
      </c>
    </row>
    <row r="79" spans="1:15" x14ac:dyDescent="0.3">
      <c r="A79" s="52"/>
      <c r="B79" s="52"/>
      <c r="C79" s="53">
        <v>0</v>
      </c>
      <c r="D79" s="53"/>
      <c r="E79" s="53">
        <f t="shared" si="2"/>
        <v>0</v>
      </c>
      <c r="F79" s="53"/>
      <c r="G79" s="53">
        <f t="shared" si="50"/>
        <v>0</v>
      </c>
      <c r="H79" s="221"/>
      <c r="I79" s="53">
        <f t="shared" si="51"/>
        <v>0</v>
      </c>
      <c r="J79" s="53">
        <f t="shared" si="52"/>
        <v>0</v>
      </c>
      <c r="K79" s="53">
        <f t="shared" ref="K79" si="61">J79*104.6%</f>
        <v>0</v>
      </c>
      <c r="L79" s="53"/>
      <c r="M79" s="53"/>
      <c r="N79" s="53">
        <f t="shared" si="54"/>
        <v>0</v>
      </c>
    </row>
    <row r="80" spans="1:15" x14ac:dyDescent="0.3">
      <c r="A80" s="52"/>
      <c r="B80" s="51" t="s">
        <v>462</v>
      </c>
      <c r="C80" s="53">
        <v>0</v>
      </c>
      <c r="D80" s="53"/>
      <c r="E80" s="53">
        <f t="shared" si="2"/>
        <v>0</v>
      </c>
      <c r="F80" s="53"/>
      <c r="G80" s="53">
        <f t="shared" si="50"/>
        <v>0</v>
      </c>
      <c r="H80" s="221"/>
      <c r="I80" s="53">
        <f t="shared" si="51"/>
        <v>0</v>
      </c>
      <c r="J80" s="53">
        <f t="shared" si="52"/>
        <v>0</v>
      </c>
      <c r="K80" s="53">
        <f t="shared" ref="K80" si="62">J80*104.6%</f>
        <v>0</v>
      </c>
      <c r="L80" s="53"/>
      <c r="M80" s="53"/>
      <c r="N80" s="53">
        <f t="shared" si="54"/>
        <v>0</v>
      </c>
    </row>
    <row r="81" spans="1:15" x14ac:dyDescent="0.3">
      <c r="A81" s="52" t="s">
        <v>1217</v>
      </c>
      <c r="B81" s="52" t="s">
        <v>41</v>
      </c>
      <c r="C81" s="149">
        <v>90000</v>
      </c>
      <c r="D81" s="53"/>
      <c r="E81" s="53">
        <f t="shared" si="2"/>
        <v>90000</v>
      </c>
      <c r="F81" s="53"/>
      <c r="G81" s="53">
        <f t="shared" si="50"/>
        <v>90000</v>
      </c>
      <c r="H81" s="221">
        <v>-90000</v>
      </c>
      <c r="I81" s="53">
        <f t="shared" si="51"/>
        <v>0</v>
      </c>
      <c r="J81" s="53">
        <f t="shared" si="52"/>
        <v>94140</v>
      </c>
      <c r="K81" s="53">
        <f t="shared" ref="K81" si="63">J81*104.6%</f>
        <v>98470.44</v>
      </c>
      <c r="L81" s="53"/>
      <c r="M81" s="53"/>
      <c r="N81" s="53">
        <f t="shared" si="54"/>
        <v>0</v>
      </c>
    </row>
    <row r="82" spans="1:15" x14ac:dyDescent="0.3">
      <c r="A82" s="52" t="s">
        <v>1209</v>
      </c>
      <c r="B82" s="52" t="s">
        <v>54</v>
      </c>
      <c r="C82" s="149">
        <v>850000</v>
      </c>
      <c r="D82" s="53"/>
      <c r="E82" s="53">
        <f t="shared" ref="E82:E146" si="64">C82+D82</f>
        <v>850000</v>
      </c>
      <c r="F82" s="53"/>
      <c r="G82" s="53">
        <f t="shared" si="50"/>
        <v>850000</v>
      </c>
      <c r="H82" s="221">
        <v>50000</v>
      </c>
      <c r="I82" s="53">
        <f t="shared" si="51"/>
        <v>900000</v>
      </c>
      <c r="J82" s="53">
        <f t="shared" si="52"/>
        <v>889100</v>
      </c>
      <c r="K82" s="53">
        <f t="shared" ref="K82" si="65">J82*104.6%</f>
        <v>929998.60000000009</v>
      </c>
      <c r="L82" s="53">
        <v>771993.04</v>
      </c>
      <c r="M82" s="53"/>
      <c r="N82" s="53">
        <f t="shared" si="54"/>
        <v>128006.95999999996</v>
      </c>
    </row>
    <row r="83" spans="1:15" x14ac:dyDescent="0.3">
      <c r="A83" s="52" t="s">
        <v>28</v>
      </c>
      <c r="B83" s="52" t="s">
        <v>29</v>
      </c>
      <c r="C83" s="53">
        <v>3200000</v>
      </c>
      <c r="D83" s="53"/>
      <c r="E83" s="53">
        <f t="shared" si="64"/>
        <v>3200000</v>
      </c>
      <c r="F83" s="53"/>
      <c r="G83" s="53">
        <f t="shared" si="50"/>
        <v>3200000</v>
      </c>
      <c r="H83" s="221">
        <v>120000</v>
      </c>
      <c r="I83" s="53">
        <f t="shared" si="51"/>
        <v>3320000</v>
      </c>
      <c r="J83" s="53">
        <f t="shared" si="52"/>
        <v>3347200</v>
      </c>
      <c r="K83" s="53">
        <f t="shared" ref="K83" si="66">J83*104.6%</f>
        <v>3501171.2</v>
      </c>
      <c r="L83" s="53">
        <v>2258856.5699999998</v>
      </c>
      <c r="M83" s="53"/>
      <c r="N83" s="53">
        <f t="shared" si="54"/>
        <v>1061143.4300000002</v>
      </c>
    </row>
    <row r="84" spans="1:15" x14ac:dyDescent="0.3">
      <c r="A84" s="52"/>
      <c r="B84" s="52"/>
      <c r="C84" s="53">
        <v>0</v>
      </c>
      <c r="D84" s="53"/>
      <c r="E84" s="53">
        <f t="shared" si="64"/>
        <v>0</v>
      </c>
      <c r="F84" s="53"/>
      <c r="G84" s="53">
        <f t="shared" si="50"/>
        <v>0</v>
      </c>
      <c r="H84" s="221"/>
      <c r="I84" s="53">
        <f t="shared" si="51"/>
        <v>0</v>
      </c>
      <c r="J84" s="53">
        <f t="shared" si="52"/>
        <v>0</v>
      </c>
      <c r="K84" s="53">
        <f t="shared" ref="K84" si="67">J84*104.6%</f>
        <v>0</v>
      </c>
      <c r="L84" s="53">
        <v>0</v>
      </c>
      <c r="M84" s="53"/>
      <c r="N84" s="53">
        <f t="shared" si="54"/>
        <v>0</v>
      </c>
    </row>
    <row r="85" spans="1:15" s="77" customFormat="1" x14ac:dyDescent="0.3">
      <c r="A85" s="52" t="s">
        <v>1201</v>
      </c>
      <c r="B85" s="52" t="s">
        <v>1202</v>
      </c>
      <c r="C85" s="53">
        <v>2500000</v>
      </c>
      <c r="D85" s="53"/>
      <c r="E85" s="53">
        <f t="shared" si="64"/>
        <v>2500000</v>
      </c>
      <c r="F85" s="53"/>
      <c r="G85" s="53">
        <f t="shared" si="50"/>
        <v>2500000</v>
      </c>
      <c r="H85" s="221"/>
      <c r="I85" s="53">
        <f t="shared" si="51"/>
        <v>2500000</v>
      </c>
      <c r="J85" s="53">
        <f t="shared" si="52"/>
        <v>2615000</v>
      </c>
      <c r="K85" s="53">
        <f t="shared" ref="K85" si="68">J85*104.6%</f>
        <v>2735290</v>
      </c>
      <c r="L85" s="53">
        <v>1178914.9099999999</v>
      </c>
      <c r="M85" s="53"/>
      <c r="N85" s="53">
        <f t="shared" si="54"/>
        <v>1321085.0900000001</v>
      </c>
      <c r="O85" s="64"/>
    </row>
    <row r="86" spans="1:15" x14ac:dyDescent="0.3">
      <c r="A86" s="52" t="s">
        <v>47</v>
      </c>
      <c r="B86" s="52" t="s">
        <v>48</v>
      </c>
      <c r="C86" s="53">
        <v>1500000</v>
      </c>
      <c r="D86" s="53"/>
      <c r="E86" s="53">
        <f t="shared" si="64"/>
        <v>1500000</v>
      </c>
      <c r="F86" s="53"/>
      <c r="G86" s="53">
        <f t="shared" si="50"/>
        <v>1500000</v>
      </c>
      <c r="H86" s="221"/>
      <c r="I86" s="53">
        <f t="shared" si="51"/>
        <v>1500000</v>
      </c>
      <c r="J86" s="53">
        <f t="shared" si="52"/>
        <v>1569000</v>
      </c>
      <c r="K86" s="53">
        <f t="shared" ref="K86" si="69">J86*104.6%</f>
        <v>1641174</v>
      </c>
      <c r="L86" s="53">
        <v>311045.37</v>
      </c>
      <c r="M86" s="53"/>
      <c r="N86" s="53">
        <f t="shared" si="54"/>
        <v>1188954.6299999999</v>
      </c>
    </row>
    <row r="87" spans="1:15" x14ac:dyDescent="0.3">
      <c r="A87" s="52" t="s">
        <v>55</v>
      </c>
      <c r="B87" s="52" t="s">
        <v>56</v>
      </c>
      <c r="C87" s="53">
        <v>1300000</v>
      </c>
      <c r="D87" s="53"/>
      <c r="E87" s="53">
        <f t="shared" si="64"/>
        <v>1300000</v>
      </c>
      <c r="F87" s="53"/>
      <c r="G87" s="53">
        <f t="shared" si="50"/>
        <v>1300000</v>
      </c>
      <c r="H87" s="221">
        <v>100000</v>
      </c>
      <c r="I87" s="53">
        <f t="shared" si="51"/>
        <v>1400000</v>
      </c>
      <c r="J87" s="53">
        <f t="shared" si="52"/>
        <v>1359800</v>
      </c>
      <c r="K87" s="53">
        <f t="shared" ref="K87" si="70">J87*104.6%</f>
        <v>1422350.8</v>
      </c>
      <c r="L87" s="53">
        <v>1389716.49</v>
      </c>
      <c r="M87" s="53"/>
      <c r="N87" s="53">
        <f t="shared" si="54"/>
        <v>10283.510000000009</v>
      </c>
    </row>
    <row r="88" spans="1:15" s="77" customFormat="1" x14ac:dyDescent="0.3">
      <c r="A88" s="52" t="s">
        <v>1213</v>
      </c>
      <c r="B88" s="52" t="s">
        <v>1214</v>
      </c>
      <c r="C88" s="149">
        <v>500000</v>
      </c>
      <c r="D88" s="53"/>
      <c r="E88" s="53">
        <f t="shared" si="64"/>
        <v>500000</v>
      </c>
      <c r="F88" s="53"/>
      <c r="G88" s="53">
        <f t="shared" si="50"/>
        <v>500000</v>
      </c>
      <c r="H88" s="221">
        <f>-50000+190000</f>
        <v>140000</v>
      </c>
      <c r="I88" s="53">
        <f t="shared" si="51"/>
        <v>640000</v>
      </c>
      <c r="J88" s="53">
        <f t="shared" si="52"/>
        <v>523000</v>
      </c>
      <c r="K88" s="53">
        <f t="shared" ref="K88" si="71">J88*104.6%</f>
        <v>547058</v>
      </c>
      <c r="L88" s="53">
        <v>117674.09</v>
      </c>
      <c r="M88" s="53"/>
      <c r="N88" s="53">
        <f t="shared" si="54"/>
        <v>522325.91000000003</v>
      </c>
      <c r="O88" s="64"/>
    </row>
    <row r="89" spans="1:15" s="77" customFormat="1" x14ac:dyDescent="0.3">
      <c r="A89" s="52" t="s">
        <v>1218</v>
      </c>
      <c r="B89" s="52" t="s">
        <v>49</v>
      </c>
      <c r="C89" s="149">
        <v>70000</v>
      </c>
      <c r="D89" s="53"/>
      <c r="E89" s="53">
        <f t="shared" si="64"/>
        <v>70000</v>
      </c>
      <c r="F89" s="53"/>
      <c r="G89" s="53">
        <f t="shared" si="50"/>
        <v>70000</v>
      </c>
      <c r="H89" s="221">
        <v>-40000</v>
      </c>
      <c r="I89" s="53">
        <f t="shared" si="51"/>
        <v>30000</v>
      </c>
      <c r="J89" s="53">
        <f t="shared" si="52"/>
        <v>73220</v>
      </c>
      <c r="K89" s="53">
        <f t="shared" ref="K89" si="72">J89*104.6%</f>
        <v>76588.12000000001</v>
      </c>
      <c r="L89" s="53">
        <v>8653.7000000000007</v>
      </c>
      <c r="M89" s="53"/>
      <c r="N89" s="53">
        <f t="shared" si="54"/>
        <v>21346.3</v>
      </c>
      <c r="O89" s="64"/>
    </row>
    <row r="90" spans="1:15" s="77" customFormat="1" x14ac:dyDescent="0.3">
      <c r="A90" s="52"/>
      <c r="B90" s="52"/>
      <c r="C90" s="53">
        <v>0</v>
      </c>
      <c r="D90" s="53"/>
      <c r="E90" s="53">
        <f t="shared" si="64"/>
        <v>0</v>
      </c>
      <c r="F90" s="53"/>
      <c r="G90" s="53">
        <f t="shared" si="50"/>
        <v>0</v>
      </c>
      <c r="H90" s="221"/>
      <c r="I90" s="53">
        <f t="shared" si="51"/>
        <v>0</v>
      </c>
      <c r="J90" s="53">
        <f t="shared" si="52"/>
        <v>0</v>
      </c>
      <c r="K90" s="53">
        <f t="shared" ref="K90" si="73">J90*104.6%</f>
        <v>0</v>
      </c>
      <c r="L90" s="53"/>
      <c r="M90" s="53"/>
      <c r="N90" s="53">
        <f t="shared" si="54"/>
        <v>0</v>
      </c>
      <c r="O90" s="64"/>
    </row>
    <row r="91" spans="1:15" s="77" customFormat="1" x14ac:dyDescent="0.3">
      <c r="A91" s="52"/>
      <c r="B91" s="51" t="s">
        <v>463</v>
      </c>
      <c r="C91" s="53">
        <v>0</v>
      </c>
      <c r="D91" s="53"/>
      <c r="E91" s="53">
        <f t="shared" si="64"/>
        <v>0</v>
      </c>
      <c r="F91" s="53"/>
      <c r="G91" s="53">
        <f t="shared" si="50"/>
        <v>0</v>
      </c>
      <c r="H91" s="221"/>
      <c r="I91" s="53">
        <f t="shared" si="51"/>
        <v>0</v>
      </c>
      <c r="J91" s="53">
        <f t="shared" si="52"/>
        <v>0</v>
      </c>
      <c r="K91" s="53">
        <f t="shared" ref="K91" si="74">J91*104.6%</f>
        <v>0</v>
      </c>
      <c r="L91" s="53"/>
      <c r="M91" s="53"/>
      <c r="N91" s="53">
        <f t="shared" si="54"/>
        <v>0</v>
      </c>
      <c r="O91" s="64"/>
    </row>
    <row r="92" spans="1:15" x14ac:dyDescent="0.3">
      <c r="A92" s="52" t="s">
        <v>1212</v>
      </c>
      <c r="B92" s="52" t="s">
        <v>1211</v>
      </c>
      <c r="C92" s="149">
        <v>300000</v>
      </c>
      <c r="D92" s="53"/>
      <c r="E92" s="53">
        <f t="shared" si="64"/>
        <v>300000</v>
      </c>
      <c r="F92" s="53"/>
      <c r="G92" s="53">
        <f t="shared" si="50"/>
        <v>300000</v>
      </c>
      <c r="H92" s="221">
        <f>400000-200000</f>
        <v>200000</v>
      </c>
      <c r="I92" s="53">
        <f t="shared" si="51"/>
        <v>500000</v>
      </c>
      <c r="J92" s="53">
        <f t="shared" si="52"/>
        <v>313800</v>
      </c>
      <c r="K92" s="53">
        <f t="shared" ref="K92" si="75">J92*104.6%</f>
        <v>328234.8</v>
      </c>
      <c r="L92" s="53">
        <v>362569.46</v>
      </c>
      <c r="M92" s="53"/>
      <c r="N92" s="53">
        <f t="shared" si="54"/>
        <v>137430.53999999998</v>
      </c>
    </row>
    <row r="93" spans="1:15" x14ac:dyDescent="0.3">
      <c r="A93" s="52" t="s">
        <v>26</v>
      </c>
      <c r="B93" s="52" t="s">
        <v>27</v>
      </c>
      <c r="C93" s="53">
        <v>100000</v>
      </c>
      <c r="D93" s="53"/>
      <c r="E93" s="53">
        <f t="shared" si="64"/>
        <v>100000</v>
      </c>
      <c r="F93" s="53"/>
      <c r="G93" s="53">
        <f t="shared" si="50"/>
        <v>100000</v>
      </c>
      <c r="H93" s="221">
        <f>700000-100000+100000</f>
        <v>700000</v>
      </c>
      <c r="I93" s="53">
        <f t="shared" si="51"/>
        <v>800000</v>
      </c>
      <c r="J93" s="53">
        <f t="shared" si="52"/>
        <v>104600</v>
      </c>
      <c r="K93" s="53">
        <f t="shared" ref="K93" si="76">J93*104.6%</f>
        <v>109411.6</v>
      </c>
      <c r="L93" s="53">
        <v>558786.96</v>
      </c>
      <c r="M93" s="53"/>
      <c r="N93" s="53">
        <f t="shared" si="54"/>
        <v>241213.04000000004</v>
      </c>
    </row>
    <row r="94" spans="1:15" x14ac:dyDescent="0.3">
      <c r="A94" s="52" t="s">
        <v>31</v>
      </c>
      <c r="B94" s="52" t="s">
        <v>32</v>
      </c>
      <c r="C94" s="53">
        <v>200000</v>
      </c>
      <c r="D94" s="53"/>
      <c r="E94" s="53">
        <f t="shared" si="64"/>
        <v>200000</v>
      </c>
      <c r="F94" s="53"/>
      <c r="G94" s="53">
        <f t="shared" si="50"/>
        <v>200000</v>
      </c>
      <c r="H94" s="221">
        <f>-100000-100000</f>
        <v>-200000</v>
      </c>
      <c r="I94" s="53">
        <f t="shared" si="51"/>
        <v>0</v>
      </c>
      <c r="J94" s="53">
        <f t="shared" si="52"/>
        <v>209200</v>
      </c>
      <c r="K94" s="53">
        <f t="shared" ref="K94" si="77">J94*104.6%</f>
        <v>218823.2</v>
      </c>
      <c r="L94" s="53">
        <v>0</v>
      </c>
      <c r="M94" s="53"/>
      <c r="N94" s="53">
        <f t="shared" si="54"/>
        <v>0</v>
      </c>
    </row>
    <row r="95" spans="1:15" x14ac:dyDescent="0.3">
      <c r="A95" s="52"/>
      <c r="B95" s="52"/>
      <c r="C95" s="53">
        <v>0</v>
      </c>
      <c r="D95" s="53"/>
      <c r="E95" s="53">
        <f t="shared" si="64"/>
        <v>0</v>
      </c>
      <c r="F95" s="53"/>
      <c r="G95" s="53">
        <f t="shared" si="50"/>
        <v>0</v>
      </c>
      <c r="H95" s="221"/>
      <c r="I95" s="53">
        <f t="shared" si="51"/>
        <v>0</v>
      </c>
      <c r="J95" s="53">
        <f t="shared" si="52"/>
        <v>0</v>
      </c>
      <c r="K95" s="53">
        <f t="shared" ref="K95" si="78">J95*104.6%</f>
        <v>0</v>
      </c>
      <c r="L95" s="53">
        <v>0</v>
      </c>
      <c r="M95" s="53"/>
      <c r="N95" s="53">
        <f t="shared" si="54"/>
        <v>0</v>
      </c>
    </row>
    <row r="96" spans="1:15" x14ac:dyDescent="0.3">
      <c r="A96" s="52" t="s">
        <v>592</v>
      </c>
      <c r="B96" s="52" t="s">
        <v>30</v>
      </c>
      <c r="C96" s="53">
        <v>250000</v>
      </c>
      <c r="D96" s="53"/>
      <c r="E96" s="53">
        <f t="shared" si="64"/>
        <v>250000</v>
      </c>
      <c r="F96" s="53"/>
      <c r="G96" s="53">
        <f t="shared" si="50"/>
        <v>250000</v>
      </c>
      <c r="H96" s="221">
        <f>-100000-6120</f>
        <v>-106120</v>
      </c>
      <c r="I96" s="53">
        <f t="shared" si="51"/>
        <v>143880</v>
      </c>
      <c r="J96" s="53">
        <f t="shared" si="52"/>
        <v>261500</v>
      </c>
      <c r="K96" s="53">
        <f t="shared" ref="K96" si="79">J96*104.6%</f>
        <v>273529</v>
      </c>
      <c r="L96" s="53">
        <v>43880</v>
      </c>
      <c r="M96" s="53"/>
      <c r="N96" s="53">
        <f t="shared" si="54"/>
        <v>100000</v>
      </c>
    </row>
    <row r="97" spans="1:16" x14ac:dyDescent="0.3">
      <c r="A97" s="52" t="s">
        <v>661</v>
      </c>
      <c r="B97" s="52" t="s">
        <v>662</v>
      </c>
      <c r="C97" s="53">
        <v>50000</v>
      </c>
      <c r="D97" s="53"/>
      <c r="E97" s="53">
        <f t="shared" si="64"/>
        <v>50000</v>
      </c>
      <c r="F97" s="53"/>
      <c r="G97" s="53">
        <f t="shared" si="50"/>
        <v>50000</v>
      </c>
      <c r="H97" s="221">
        <v>10000</v>
      </c>
      <c r="I97" s="53">
        <f t="shared" si="51"/>
        <v>60000</v>
      </c>
      <c r="J97" s="53">
        <f t="shared" si="52"/>
        <v>52300</v>
      </c>
      <c r="K97" s="53">
        <f t="shared" ref="K97" si="80">J97*104.6%</f>
        <v>54705.8</v>
      </c>
      <c r="L97" s="53">
        <v>37620</v>
      </c>
      <c r="M97" s="53"/>
      <c r="N97" s="53">
        <f t="shared" si="54"/>
        <v>22380</v>
      </c>
    </row>
    <row r="98" spans="1:16" x14ac:dyDescent="0.3">
      <c r="A98" s="52" t="s">
        <v>448</v>
      </c>
      <c r="B98" s="52" t="s">
        <v>51</v>
      </c>
      <c r="C98" s="149">
        <v>5000</v>
      </c>
      <c r="D98" s="53"/>
      <c r="E98" s="53">
        <f t="shared" si="64"/>
        <v>5000</v>
      </c>
      <c r="F98" s="53"/>
      <c r="G98" s="53">
        <f t="shared" si="50"/>
        <v>5000</v>
      </c>
      <c r="H98" s="221"/>
      <c r="I98" s="53">
        <f t="shared" si="51"/>
        <v>5000</v>
      </c>
      <c r="J98" s="53">
        <f t="shared" si="52"/>
        <v>5230</v>
      </c>
      <c r="K98" s="53">
        <f t="shared" ref="K98" si="81">J98*104.6%</f>
        <v>5470.58</v>
      </c>
      <c r="L98" s="53">
        <v>1707.48</v>
      </c>
      <c r="M98" s="53"/>
      <c r="N98" s="53">
        <f t="shared" si="54"/>
        <v>3292.52</v>
      </c>
    </row>
    <row r="99" spans="1:16" x14ac:dyDescent="0.3">
      <c r="A99" s="52" t="s">
        <v>1279</v>
      </c>
      <c r="B99" s="52" t="s">
        <v>50</v>
      </c>
      <c r="C99" s="53">
        <v>92565.53207500001</v>
      </c>
      <c r="D99" s="53"/>
      <c r="E99" s="53">
        <f t="shared" si="64"/>
        <v>92565.53207500001</v>
      </c>
      <c r="F99" s="53"/>
      <c r="G99" s="53">
        <f t="shared" si="50"/>
        <v>92565.53207500001</v>
      </c>
      <c r="H99" s="221"/>
      <c r="I99" s="53">
        <f t="shared" si="51"/>
        <v>92565.53207500001</v>
      </c>
      <c r="J99" s="53">
        <f t="shared" si="52"/>
        <v>96823.546550450017</v>
      </c>
      <c r="K99" s="53">
        <f t="shared" ref="K99" si="82">J99*104.6%</f>
        <v>101277.42969177073</v>
      </c>
      <c r="L99" s="53">
        <v>41695.74</v>
      </c>
      <c r="M99" s="53"/>
      <c r="N99" s="53">
        <f t="shared" si="54"/>
        <v>50869.792075000012</v>
      </c>
    </row>
    <row r="100" spans="1:16" ht="13.5" thickBot="1" x14ac:dyDescent="0.35">
      <c r="A100" s="84" t="s">
        <v>1208</v>
      </c>
      <c r="B100" s="84" t="s">
        <v>33</v>
      </c>
      <c r="C100" s="149">
        <v>300000</v>
      </c>
      <c r="D100" s="53"/>
      <c r="E100" s="53">
        <f t="shared" si="64"/>
        <v>300000</v>
      </c>
      <c r="F100" s="53"/>
      <c r="G100" s="53">
        <f t="shared" si="50"/>
        <v>300000</v>
      </c>
      <c r="H100" s="221">
        <v>25000</v>
      </c>
      <c r="I100" s="53">
        <f t="shared" si="51"/>
        <v>325000</v>
      </c>
      <c r="J100" s="53">
        <f t="shared" si="52"/>
        <v>313800</v>
      </c>
      <c r="K100" s="53">
        <f t="shared" ref="K100" si="83">J100*104.6%</f>
        <v>328234.8</v>
      </c>
      <c r="L100" s="53">
        <v>325000</v>
      </c>
      <c r="M100" s="53"/>
      <c r="N100" s="53">
        <f t="shared" si="54"/>
        <v>0</v>
      </c>
    </row>
    <row r="101" spans="1:16" s="77" customFormat="1" ht="13.5" thickBot="1" x14ac:dyDescent="0.35">
      <c r="A101" s="57" t="s">
        <v>678</v>
      </c>
      <c r="B101" s="57"/>
      <c r="C101" s="59">
        <f>SUM(C72:C100)</f>
        <v>11812565.532075001</v>
      </c>
      <c r="D101" s="59">
        <f t="shared" ref="D101:N101" si="84">SUM(D72:D100)</f>
        <v>0</v>
      </c>
      <c r="E101" s="59">
        <f t="shared" si="84"/>
        <v>11812565.532075001</v>
      </c>
      <c r="F101" s="59">
        <f t="shared" si="84"/>
        <v>0</v>
      </c>
      <c r="G101" s="59">
        <f t="shared" si="84"/>
        <v>11812565.532075001</v>
      </c>
      <c r="H101" s="222">
        <f t="shared" si="84"/>
        <v>1025000</v>
      </c>
      <c r="I101" s="59">
        <f t="shared" si="84"/>
        <v>12837565.532075001</v>
      </c>
      <c r="J101" s="59">
        <f t="shared" si="84"/>
        <v>12355943.546550451</v>
      </c>
      <c r="K101" s="59">
        <f t="shared" si="84"/>
        <v>12924316.949691772</v>
      </c>
      <c r="L101" s="59">
        <f t="shared" si="84"/>
        <v>7837173.580000001</v>
      </c>
      <c r="M101" s="59">
        <f t="shared" si="84"/>
        <v>0</v>
      </c>
      <c r="N101" s="59">
        <f t="shared" si="84"/>
        <v>5000391.952074999</v>
      </c>
      <c r="O101" s="76"/>
    </row>
    <row r="102" spans="1:16" s="77" customFormat="1" ht="13.5" thickTop="1" x14ac:dyDescent="0.3">
      <c r="A102" s="60"/>
      <c r="B102" s="60"/>
      <c r="C102" s="78"/>
      <c r="D102" s="78"/>
      <c r="E102" s="53">
        <f t="shared" si="64"/>
        <v>0</v>
      </c>
      <c r="F102" s="62"/>
      <c r="G102" s="62"/>
      <c r="H102" s="224"/>
      <c r="I102" s="62"/>
      <c r="J102" s="78"/>
      <c r="K102" s="78"/>
      <c r="L102" s="67"/>
      <c r="M102" s="67"/>
      <c r="N102" s="67"/>
      <c r="O102" s="76"/>
    </row>
    <row r="103" spans="1:16" x14ac:dyDescent="0.3">
      <c r="A103" s="51" t="s">
        <v>79</v>
      </c>
      <c r="B103" s="52"/>
      <c r="C103" s="53"/>
      <c r="D103" s="53"/>
      <c r="E103" s="53">
        <f t="shared" si="64"/>
        <v>0</v>
      </c>
      <c r="F103" s="53"/>
      <c r="G103" s="53"/>
      <c r="H103" s="221"/>
      <c r="I103" s="53"/>
      <c r="J103" s="53"/>
      <c r="K103" s="53"/>
      <c r="L103" s="53"/>
      <c r="M103" s="53"/>
      <c r="N103" s="53"/>
    </row>
    <row r="104" spans="1:16" x14ac:dyDescent="0.3">
      <c r="A104" s="52" t="s">
        <v>620</v>
      </c>
      <c r="B104" s="52" t="s">
        <v>635</v>
      </c>
      <c r="C104" s="53">
        <v>0</v>
      </c>
      <c r="D104" s="53"/>
      <c r="E104" s="53">
        <f t="shared" si="64"/>
        <v>0</v>
      </c>
      <c r="F104" s="53"/>
      <c r="G104" s="53"/>
      <c r="H104" s="221"/>
      <c r="I104" s="53"/>
      <c r="J104" s="53">
        <f t="shared" ref="J104:J122" si="85">C104*104.6%</f>
        <v>0</v>
      </c>
      <c r="K104" s="53">
        <f t="shared" ref="K104" si="86">J104*104.6%</f>
        <v>0</v>
      </c>
      <c r="L104" s="53">
        <v>297</v>
      </c>
      <c r="M104" s="53"/>
      <c r="N104" s="53"/>
    </row>
    <row r="105" spans="1:16" x14ac:dyDescent="0.3">
      <c r="A105" s="52" t="s">
        <v>625</v>
      </c>
      <c r="B105" s="52" t="s">
        <v>640</v>
      </c>
      <c r="C105" s="53">
        <v>3131.5200000000009</v>
      </c>
      <c r="D105" s="53"/>
      <c r="E105" s="53">
        <f t="shared" si="64"/>
        <v>3131.5200000000009</v>
      </c>
      <c r="F105" s="53"/>
      <c r="G105" s="53">
        <f t="shared" ref="G105:G122" si="87">E105+F105</f>
        <v>3131.5200000000009</v>
      </c>
      <c r="H105" s="221"/>
      <c r="I105" s="53">
        <f t="shared" ref="I105:I122" si="88">G105+H105</f>
        <v>3131.5200000000009</v>
      </c>
      <c r="J105" s="53">
        <f t="shared" si="85"/>
        <v>3275.5699200000013</v>
      </c>
      <c r="K105" s="53">
        <f t="shared" ref="K105" si="89">J105*104.6%</f>
        <v>3426.2461363200014</v>
      </c>
      <c r="L105" s="53">
        <v>1316.6999999999998</v>
      </c>
      <c r="M105" s="53"/>
      <c r="N105" s="53">
        <f t="shared" ref="N105:N122" si="90">I105-L105-M105</f>
        <v>1814.8200000000011</v>
      </c>
    </row>
    <row r="106" spans="1:16" x14ac:dyDescent="0.3">
      <c r="A106" s="52" t="s">
        <v>631</v>
      </c>
      <c r="B106" s="52" t="s">
        <v>649</v>
      </c>
      <c r="C106" s="53">
        <v>662127.26958333328</v>
      </c>
      <c r="D106" s="53"/>
      <c r="E106" s="53">
        <f t="shared" si="64"/>
        <v>662127.26958333328</v>
      </c>
      <c r="F106" s="53"/>
      <c r="G106" s="53">
        <f t="shared" si="87"/>
        <v>662127.26958333328</v>
      </c>
      <c r="H106" s="221">
        <v>-99566.779583333293</v>
      </c>
      <c r="I106" s="53">
        <f t="shared" si="88"/>
        <v>562560.49</v>
      </c>
      <c r="J106" s="53">
        <f t="shared" si="85"/>
        <v>692585.12398416665</v>
      </c>
      <c r="K106" s="53">
        <f t="shared" ref="K106" si="91">J106*104.6%</f>
        <v>724444.0396874384</v>
      </c>
      <c r="L106" s="53">
        <v>562560.49</v>
      </c>
      <c r="M106" s="53"/>
      <c r="N106" s="53">
        <f t="shared" si="90"/>
        <v>0</v>
      </c>
      <c r="P106" s="93"/>
    </row>
    <row r="107" spans="1:16" x14ac:dyDescent="0.3">
      <c r="A107" s="52" t="s">
        <v>599</v>
      </c>
      <c r="B107" s="52" t="s">
        <v>645</v>
      </c>
      <c r="C107" s="53">
        <v>195360</v>
      </c>
      <c r="D107" s="53"/>
      <c r="E107" s="53">
        <f t="shared" si="64"/>
        <v>195360</v>
      </c>
      <c r="F107" s="53"/>
      <c r="G107" s="53">
        <f t="shared" si="87"/>
        <v>195360</v>
      </c>
      <c r="H107" s="221">
        <v>8405.7600000000093</v>
      </c>
      <c r="I107" s="53">
        <f t="shared" si="88"/>
        <v>203765.76000000001</v>
      </c>
      <c r="J107" s="53">
        <f t="shared" si="85"/>
        <v>204346.56</v>
      </c>
      <c r="K107" s="53">
        <f t="shared" ref="K107" si="92">J107*104.6%</f>
        <v>213746.50176000001</v>
      </c>
      <c r="L107" s="53">
        <v>118863.35999999999</v>
      </c>
      <c r="M107" s="53"/>
      <c r="N107" s="53">
        <f t="shared" si="90"/>
        <v>84902.400000000023</v>
      </c>
    </row>
    <row r="108" spans="1:16" x14ac:dyDescent="0.3">
      <c r="A108" s="52" t="s">
        <v>626</v>
      </c>
      <c r="B108" s="52" t="s">
        <v>642</v>
      </c>
      <c r="C108" s="53">
        <v>100000</v>
      </c>
      <c r="D108" s="53"/>
      <c r="E108" s="53">
        <f t="shared" si="64"/>
        <v>100000</v>
      </c>
      <c r="F108" s="53"/>
      <c r="G108" s="53">
        <f t="shared" si="87"/>
        <v>100000</v>
      </c>
      <c r="H108" s="221">
        <v>-100000</v>
      </c>
      <c r="I108" s="53">
        <f t="shared" si="88"/>
        <v>0</v>
      </c>
      <c r="J108" s="53">
        <f t="shared" si="85"/>
        <v>104600</v>
      </c>
      <c r="K108" s="53">
        <f t="shared" ref="K108" si="93">J108*104.6%</f>
        <v>109411.6</v>
      </c>
      <c r="L108" s="53">
        <v>0</v>
      </c>
      <c r="M108" s="53"/>
      <c r="N108" s="53">
        <f t="shared" si="90"/>
        <v>0</v>
      </c>
    </row>
    <row r="109" spans="1:16" x14ac:dyDescent="0.3">
      <c r="A109" s="52" t="s">
        <v>632</v>
      </c>
      <c r="B109" s="52" t="s">
        <v>650</v>
      </c>
      <c r="C109" s="53">
        <v>609538.80000000005</v>
      </c>
      <c r="D109" s="53"/>
      <c r="E109" s="53">
        <f t="shared" si="64"/>
        <v>609538.80000000005</v>
      </c>
      <c r="F109" s="53"/>
      <c r="G109" s="53">
        <f t="shared" si="87"/>
        <v>609538.80000000005</v>
      </c>
      <c r="H109" s="221">
        <v>1758.4799999999814</v>
      </c>
      <c r="I109" s="53">
        <f t="shared" si="88"/>
        <v>611297.28000000003</v>
      </c>
      <c r="J109" s="53">
        <f t="shared" si="85"/>
        <v>637577.58480000007</v>
      </c>
      <c r="K109" s="53">
        <f t="shared" ref="K109" si="94">J109*104.6%</f>
        <v>666906.15370080015</v>
      </c>
      <c r="L109" s="53">
        <v>356590.08000000002</v>
      </c>
      <c r="M109" s="53"/>
      <c r="N109" s="53">
        <f t="shared" si="90"/>
        <v>254707.20000000001</v>
      </c>
    </row>
    <row r="110" spans="1:16" x14ac:dyDescent="0.3">
      <c r="A110" s="52" t="s">
        <v>622</v>
      </c>
      <c r="B110" s="52" t="s">
        <v>637</v>
      </c>
      <c r="C110" s="53">
        <v>1784.6399999999999</v>
      </c>
      <c r="D110" s="53"/>
      <c r="E110" s="53">
        <f t="shared" si="64"/>
        <v>1784.6399999999999</v>
      </c>
      <c r="F110" s="53"/>
      <c r="G110" s="53">
        <f t="shared" si="87"/>
        <v>1784.6399999999999</v>
      </c>
      <c r="H110" s="221">
        <v>0</v>
      </c>
      <c r="I110" s="53">
        <f t="shared" si="88"/>
        <v>1784.6399999999999</v>
      </c>
      <c r="J110" s="53">
        <f t="shared" si="85"/>
        <v>1866.73344</v>
      </c>
      <c r="K110" s="53">
        <f t="shared" ref="K110" si="95">J110*104.6%</f>
        <v>1952.60317824</v>
      </c>
      <c r="L110" s="53">
        <v>1041.04</v>
      </c>
      <c r="M110" s="53"/>
      <c r="N110" s="53">
        <f t="shared" si="90"/>
        <v>743.59999999999991</v>
      </c>
    </row>
    <row r="111" spans="1:16" x14ac:dyDescent="0.3">
      <c r="A111" s="52" t="s">
        <v>623</v>
      </c>
      <c r="B111" s="52" t="s">
        <v>638</v>
      </c>
      <c r="C111" s="53">
        <v>54466.2</v>
      </c>
      <c r="D111" s="53"/>
      <c r="E111" s="53">
        <f t="shared" si="64"/>
        <v>54466.2</v>
      </c>
      <c r="F111" s="53"/>
      <c r="G111" s="53">
        <f t="shared" si="87"/>
        <v>54466.2</v>
      </c>
      <c r="H111" s="221">
        <v>2723.5200000000041</v>
      </c>
      <c r="I111" s="53">
        <f t="shared" si="88"/>
        <v>57189.72</v>
      </c>
      <c r="J111" s="53">
        <f t="shared" si="85"/>
        <v>56971.645199999999</v>
      </c>
      <c r="K111" s="53">
        <f t="shared" ref="K111" si="96">J111*104.6%</f>
        <v>59592.340879200005</v>
      </c>
      <c r="L111" s="53">
        <v>33757.85</v>
      </c>
      <c r="M111" s="53"/>
      <c r="N111" s="53">
        <f t="shared" si="90"/>
        <v>23431.870000000003</v>
      </c>
    </row>
    <row r="112" spans="1:16" x14ac:dyDescent="0.3">
      <c r="A112" s="52" t="s">
        <v>450</v>
      </c>
      <c r="B112" s="52" t="s">
        <v>648</v>
      </c>
      <c r="C112" s="149">
        <v>500000</v>
      </c>
      <c r="D112" s="53"/>
      <c r="E112" s="53">
        <f t="shared" si="64"/>
        <v>500000</v>
      </c>
      <c r="F112" s="53"/>
      <c r="G112" s="53">
        <f t="shared" si="87"/>
        <v>500000</v>
      </c>
      <c r="H112" s="221">
        <v>0</v>
      </c>
      <c r="I112" s="53">
        <f t="shared" si="88"/>
        <v>500000</v>
      </c>
      <c r="J112" s="53">
        <f t="shared" si="85"/>
        <v>523000</v>
      </c>
      <c r="K112" s="53">
        <f t="shared" ref="K112" si="97">J112*104.6%</f>
        <v>547058</v>
      </c>
      <c r="L112" s="53">
        <v>249999.9</v>
      </c>
      <c r="M112" s="53"/>
      <c r="N112" s="53">
        <f t="shared" si="90"/>
        <v>250000.1</v>
      </c>
    </row>
    <row r="113" spans="1:16" x14ac:dyDescent="0.3">
      <c r="A113" s="52" t="s">
        <v>628</v>
      </c>
      <c r="B113" s="52" t="s">
        <v>644</v>
      </c>
      <c r="C113" s="53">
        <v>280000</v>
      </c>
      <c r="D113" s="53"/>
      <c r="E113" s="53">
        <f t="shared" si="64"/>
        <v>280000</v>
      </c>
      <c r="F113" s="53"/>
      <c r="G113" s="53">
        <f t="shared" si="87"/>
        <v>280000</v>
      </c>
      <c r="H113" s="221">
        <v>805890.47</v>
      </c>
      <c r="I113" s="53">
        <f t="shared" si="88"/>
        <v>1085890.47</v>
      </c>
      <c r="J113" s="53">
        <f t="shared" si="85"/>
        <v>292880</v>
      </c>
      <c r="K113" s="53">
        <f t="shared" ref="K113" si="98">J113*104.6%</f>
        <v>306352.48000000004</v>
      </c>
      <c r="L113" s="53">
        <v>285890.46999999997</v>
      </c>
      <c r="M113" s="53"/>
      <c r="N113" s="53">
        <f t="shared" si="90"/>
        <v>800000</v>
      </c>
    </row>
    <row r="114" spans="1:16" x14ac:dyDescent="0.3">
      <c r="A114" s="52" t="s">
        <v>1210</v>
      </c>
      <c r="B114" s="52" t="s">
        <v>641</v>
      </c>
      <c r="C114" s="53">
        <v>100000</v>
      </c>
      <c r="D114" s="53"/>
      <c r="E114" s="53">
        <f t="shared" si="64"/>
        <v>100000</v>
      </c>
      <c r="F114" s="53"/>
      <c r="G114" s="53">
        <f t="shared" si="87"/>
        <v>100000</v>
      </c>
      <c r="H114" s="221">
        <v>-55000</v>
      </c>
      <c r="I114" s="53">
        <f t="shared" si="88"/>
        <v>45000</v>
      </c>
      <c r="J114" s="53">
        <f t="shared" si="85"/>
        <v>104600</v>
      </c>
      <c r="K114" s="53">
        <f t="shared" ref="K114" si="99">J114*104.6%</f>
        <v>109411.6</v>
      </c>
      <c r="L114" s="53">
        <v>0</v>
      </c>
      <c r="M114" s="53"/>
      <c r="N114" s="53">
        <f t="shared" si="90"/>
        <v>45000</v>
      </c>
    </row>
    <row r="115" spans="1:16" x14ac:dyDescent="0.3">
      <c r="A115" s="52" t="s">
        <v>630</v>
      </c>
      <c r="B115" s="52" t="s">
        <v>647</v>
      </c>
      <c r="C115" s="53">
        <v>597735.6</v>
      </c>
      <c r="D115" s="53"/>
      <c r="E115" s="53">
        <f t="shared" si="64"/>
        <v>597735.6</v>
      </c>
      <c r="F115" s="53"/>
      <c r="G115" s="53">
        <f t="shared" si="87"/>
        <v>597735.6</v>
      </c>
      <c r="H115" s="221">
        <v>20812.080000000075</v>
      </c>
      <c r="I115" s="53">
        <f t="shared" si="88"/>
        <v>618547.68000000005</v>
      </c>
      <c r="J115" s="53">
        <f t="shared" si="85"/>
        <v>625231.43759999995</v>
      </c>
      <c r="K115" s="53">
        <f t="shared" ref="K115" si="100">J115*104.6%</f>
        <v>653992.08372959995</v>
      </c>
      <c r="L115" s="53">
        <v>348475.56</v>
      </c>
      <c r="M115" s="53"/>
      <c r="N115" s="53">
        <f t="shared" si="90"/>
        <v>270072.12000000005</v>
      </c>
    </row>
    <row r="116" spans="1:16" x14ac:dyDescent="0.3">
      <c r="A116" s="52" t="s">
        <v>627</v>
      </c>
      <c r="B116" s="52" t="s">
        <v>643</v>
      </c>
      <c r="C116" s="53">
        <v>75000</v>
      </c>
      <c r="D116" s="53"/>
      <c r="E116" s="53">
        <f t="shared" si="64"/>
        <v>75000</v>
      </c>
      <c r="F116" s="53"/>
      <c r="G116" s="53">
        <f t="shared" si="87"/>
        <v>75000</v>
      </c>
      <c r="H116" s="221">
        <v>0</v>
      </c>
      <c r="I116" s="53">
        <f t="shared" si="88"/>
        <v>75000</v>
      </c>
      <c r="J116" s="53">
        <f t="shared" si="85"/>
        <v>78450</v>
      </c>
      <c r="K116" s="53">
        <f t="shared" ref="K116" si="101">J116*104.6%</f>
        <v>82058.7</v>
      </c>
      <c r="L116" s="53">
        <v>40007.69</v>
      </c>
      <c r="M116" s="53"/>
      <c r="N116" s="53">
        <f t="shared" si="90"/>
        <v>34992.31</v>
      </c>
    </row>
    <row r="117" spans="1:16" x14ac:dyDescent="0.3">
      <c r="A117" s="52" t="s">
        <v>633</v>
      </c>
      <c r="B117" s="52" t="s">
        <v>651</v>
      </c>
      <c r="C117" s="53">
        <v>1506995.7206624998</v>
      </c>
      <c r="D117" s="53"/>
      <c r="E117" s="53">
        <f t="shared" si="64"/>
        <v>1506995.7206624998</v>
      </c>
      <c r="F117" s="53"/>
      <c r="G117" s="53">
        <f t="shared" si="87"/>
        <v>1506995.7206624998</v>
      </c>
      <c r="H117" s="221">
        <v>122898.86933750007</v>
      </c>
      <c r="I117" s="53">
        <f t="shared" si="88"/>
        <v>1629894.5899999999</v>
      </c>
      <c r="J117" s="53">
        <f t="shared" si="85"/>
        <v>1576317.5238129748</v>
      </c>
      <c r="K117" s="53">
        <f t="shared" ref="K117" si="102">J117*104.6%</f>
        <v>1648828.1299083717</v>
      </c>
      <c r="L117" s="53">
        <v>574239.43000000005</v>
      </c>
      <c r="M117" s="53"/>
      <c r="N117" s="53">
        <f t="shared" si="90"/>
        <v>1055655.1599999997</v>
      </c>
    </row>
    <row r="118" spans="1:16" x14ac:dyDescent="0.3">
      <c r="A118" s="52" t="s">
        <v>634</v>
      </c>
      <c r="B118" s="52" t="s">
        <v>652</v>
      </c>
      <c r="C118" s="53">
        <v>7945527.2350000003</v>
      </c>
      <c r="D118" s="53"/>
      <c r="E118" s="53">
        <f t="shared" si="64"/>
        <v>7945527.2350000003</v>
      </c>
      <c r="F118" s="53"/>
      <c r="G118" s="53">
        <f t="shared" si="87"/>
        <v>7945527.2350000003</v>
      </c>
      <c r="H118" s="221">
        <v>-724906.50499999989</v>
      </c>
      <c r="I118" s="53">
        <f t="shared" si="88"/>
        <v>7220620.7300000004</v>
      </c>
      <c r="J118" s="53">
        <f t="shared" si="85"/>
        <v>8311021.4878100008</v>
      </c>
      <c r="K118" s="53">
        <f t="shared" ref="K118" si="103">J118*104.6%</f>
        <v>8693328.4762492608</v>
      </c>
      <c r="L118" s="53">
        <v>3929451.6800000006</v>
      </c>
      <c r="M118" s="53"/>
      <c r="N118" s="53">
        <f t="shared" si="90"/>
        <v>3291169.05</v>
      </c>
    </row>
    <row r="119" spans="1:16" x14ac:dyDescent="0.3">
      <c r="A119" s="52" t="s">
        <v>621</v>
      </c>
      <c r="B119" s="52" t="s">
        <v>636</v>
      </c>
      <c r="C119" s="53">
        <v>0</v>
      </c>
      <c r="D119" s="53"/>
      <c r="E119" s="53">
        <f t="shared" si="64"/>
        <v>0</v>
      </c>
      <c r="F119" s="53"/>
      <c r="G119" s="53">
        <f t="shared" si="87"/>
        <v>0</v>
      </c>
      <c r="H119" s="221">
        <v>0</v>
      </c>
      <c r="I119" s="53">
        <f t="shared" si="88"/>
        <v>0</v>
      </c>
      <c r="J119" s="53">
        <f t="shared" si="85"/>
        <v>0</v>
      </c>
      <c r="K119" s="53">
        <f t="shared" ref="K119" si="104">J119*104.6%</f>
        <v>0</v>
      </c>
      <c r="L119" s="53">
        <v>2541.7800000000002</v>
      </c>
      <c r="M119" s="53"/>
      <c r="N119" s="53">
        <f t="shared" si="90"/>
        <v>-2541.7800000000002</v>
      </c>
    </row>
    <row r="120" spans="1:16" x14ac:dyDescent="0.3">
      <c r="A120" s="52" t="s">
        <v>1337</v>
      </c>
      <c r="B120" s="52" t="s">
        <v>1338</v>
      </c>
      <c r="C120" s="53"/>
      <c r="D120" s="53"/>
      <c r="E120" s="53"/>
      <c r="F120" s="53"/>
      <c r="G120" s="53">
        <f t="shared" si="87"/>
        <v>0</v>
      </c>
      <c r="H120" s="221">
        <v>0</v>
      </c>
      <c r="I120" s="53">
        <f t="shared" si="88"/>
        <v>0</v>
      </c>
      <c r="J120" s="53">
        <f t="shared" si="85"/>
        <v>0</v>
      </c>
      <c r="K120" s="53">
        <f t="shared" ref="K120" si="105">J120*104.6%</f>
        <v>0</v>
      </c>
      <c r="L120" s="53">
        <v>324179.76</v>
      </c>
      <c r="M120" s="53"/>
      <c r="N120" s="53">
        <f t="shared" si="90"/>
        <v>-324179.76</v>
      </c>
    </row>
    <row r="121" spans="1:16" x14ac:dyDescent="0.3">
      <c r="A121" s="52" t="s">
        <v>624</v>
      </c>
      <c r="B121" s="52" t="s">
        <v>639</v>
      </c>
      <c r="C121" s="53">
        <v>44267.87999999999</v>
      </c>
      <c r="D121" s="53"/>
      <c r="E121" s="53">
        <f t="shared" si="64"/>
        <v>44267.87999999999</v>
      </c>
      <c r="F121" s="53"/>
      <c r="G121" s="53">
        <f t="shared" si="87"/>
        <v>44267.87999999999</v>
      </c>
      <c r="H121" s="221">
        <v>0</v>
      </c>
      <c r="I121" s="53">
        <f t="shared" si="88"/>
        <v>44267.87999999999</v>
      </c>
      <c r="J121" s="53">
        <f t="shared" si="85"/>
        <v>46304.202479999993</v>
      </c>
      <c r="K121" s="53">
        <f t="shared" ref="K121" si="106">J121*104.6%</f>
        <v>48434.195794079991</v>
      </c>
      <c r="L121" s="53">
        <v>18738.719999999998</v>
      </c>
      <c r="M121" s="53"/>
      <c r="N121" s="53">
        <f t="shared" si="90"/>
        <v>25529.159999999993</v>
      </c>
    </row>
    <row r="122" spans="1:16" ht="13.5" thickBot="1" x14ac:dyDescent="0.35">
      <c r="A122" s="52" t="s">
        <v>629</v>
      </c>
      <c r="B122" s="52" t="s">
        <v>646</v>
      </c>
      <c r="C122" s="53">
        <v>260707.15500000003</v>
      </c>
      <c r="D122" s="53"/>
      <c r="E122" s="53">
        <f t="shared" si="64"/>
        <v>260707.15500000003</v>
      </c>
      <c r="F122" s="53"/>
      <c r="G122" s="53">
        <f t="shared" si="87"/>
        <v>260707.15500000003</v>
      </c>
      <c r="H122" s="221">
        <v>4.9999999755527824E-3</v>
      </c>
      <c r="I122" s="53">
        <f t="shared" si="88"/>
        <v>260707.16</v>
      </c>
      <c r="J122" s="53">
        <f t="shared" si="85"/>
        <v>272699.68413000007</v>
      </c>
      <c r="K122" s="53">
        <f t="shared" ref="K122" si="107">J122*104.6%</f>
        <v>285243.86959998007</v>
      </c>
      <c r="L122" s="53">
        <v>152471.20000000001</v>
      </c>
      <c r="M122" s="53"/>
      <c r="N122" s="53">
        <f t="shared" si="90"/>
        <v>108235.95999999999</v>
      </c>
    </row>
    <row r="123" spans="1:16" s="77" customFormat="1" ht="13.5" thickBot="1" x14ac:dyDescent="0.35">
      <c r="A123" s="57" t="s">
        <v>68</v>
      </c>
      <c r="B123" s="57"/>
      <c r="C123" s="59">
        <f>SUM(C104:C122)</f>
        <v>12936642.020245835</v>
      </c>
      <c r="D123" s="59">
        <f t="shared" ref="D123:N123" si="108">SUM(D104:D122)</f>
        <v>0</v>
      </c>
      <c r="E123" s="59">
        <f t="shared" si="108"/>
        <v>12936642.020245835</v>
      </c>
      <c r="F123" s="59">
        <f t="shared" si="108"/>
        <v>0</v>
      </c>
      <c r="G123" s="59">
        <f t="shared" si="108"/>
        <v>12936642.020245835</v>
      </c>
      <c r="H123" s="59">
        <f t="shared" si="108"/>
        <v>-16984.100245833077</v>
      </c>
      <c r="I123" s="59">
        <f t="shared" si="108"/>
        <v>12919657.920000002</v>
      </c>
      <c r="J123" s="59">
        <f t="shared" si="108"/>
        <v>13531727.553177143</v>
      </c>
      <c r="K123" s="59">
        <f t="shared" si="108"/>
        <v>14154187.020623291</v>
      </c>
      <c r="L123" s="59">
        <f t="shared" si="108"/>
        <v>7000422.71</v>
      </c>
      <c r="M123" s="59">
        <f t="shared" si="108"/>
        <v>0</v>
      </c>
      <c r="N123" s="59">
        <f t="shared" si="108"/>
        <v>5919532.21</v>
      </c>
      <c r="O123" s="76"/>
    </row>
    <row r="124" spans="1:16" s="77" customFormat="1" ht="13.5" thickTop="1" x14ac:dyDescent="0.3">
      <c r="A124" s="74"/>
      <c r="B124" s="74"/>
      <c r="C124" s="80"/>
      <c r="D124" s="80"/>
      <c r="E124" s="53">
        <f t="shared" si="64"/>
        <v>0</v>
      </c>
      <c r="F124" s="79"/>
      <c r="G124" s="79"/>
      <c r="H124" s="226"/>
      <c r="I124" s="79"/>
      <c r="J124" s="80"/>
      <c r="K124" s="80"/>
      <c r="L124" s="67"/>
      <c r="M124" s="67"/>
      <c r="N124" s="67"/>
      <c r="O124" s="76"/>
    </row>
    <row r="125" spans="1:16" x14ac:dyDescent="0.3">
      <c r="A125" s="51" t="s">
        <v>83</v>
      </c>
      <c r="B125" s="53"/>
      <c r="C125" s="53"/>
      <c r="D125" s="53"/>
      <c r="E125" s="53">
        <f t="shared" si="64"/>
        <v>0</v>
      </c>
      <c r="F125" s="53"/>
      <c r="G125" s="53"/>
      <c r="H125" s="221"/>
      <c r="I125" s="53"/>
      <c r="J125" s="53"/>
      <c r="K125" s="53"/>
      <c r="L125" s="52"/>
      <c r="M125" s="52"/>
      <c r="N125" s="52"/>
      <c r="O125" s="63"/>
    </row>
    <row r="126" spans="1:16" ht="13.5" thickBot="1" x14ac:dyDescent="0.35">
      <c r="A126" s="56" t="s">
        <v>65</v>
      </c>
      <c r="B126" s="56" t="s">
        <v>66</v>
      </c>
      <c r="C126" s="53">
        <v>650000</v>
      </c>
      <c r="D126" s="53"/>
      <c r="E126" s="53">
        <f t="shared" si="64"/>
        <v>650000</v>
      </c>
      <c r="F126" s="53"/>
      <c r="G126" s="53">
        <f>E126+F126</f>
        <v>650000</v>
      </c>
      <c r="H126" s="221">
        <v>83253.819999999949</v>
      </c>
      <c r="I126" s="53">
        <f>G126+H126</f>
        <v>733253.82</v>
      </c>
      <c r="J126" s="53">
        <f>C126*104.6%</f>
        <v>679900</v>
      </c>
      <c r="K126" s="53">
        <f>J126*104.6%</f>
        <v>711175.4</v>
      </c>
      <c r="L126" s="53">
        <v>366626.91</v>
      </c>
      <c r="M126" s="53"/>
      <c r="N126" s="53">
        <f>I126-L126-M126</f>
        <v>366626.91</v>
      </c>
      <c r="P126" s="93"/>
    </row>
    <row r="127" spans="1:16" s="77" customFormat="1" ht="13.5" thickBot="1" x14ac:dyDescent="0.35">
      <c r="A127" s="57" t="s">
        <v>68</v>
      </c>
      <c r="B127" s="57"/>
      <c r="C127" s="59">
        <f t="shared" ref="C127:N127" si="109">SUM(C126)</f>
        <v>650000</v>
      </c>
      <c r="D127" s="59">
        <f t="shared" si="109"/>
        <v>0</v>
      </c>
      <c r="E127" s="59">
        <f t="shared" si="109"/>
        <v>650000</v>
      </c>
      <c r="F127" s="59">
        <f t="shared" si="109"/>
        <v>0</v>
      </c>
      <c r="G127" s="59">
        <f t="shared" si="109"/>
        <v>650000</v>
      </c>
      <c r="H127" s="222">
        <f t="shared" si="109"/>
        <v>83253.819999999949</v>
      </c>
      <c r="I127" s="59">
        <f t="shared" si="109"/>
        <v>733253.82</v>
      </c>
      <c r="J127" s="59">
        <f t="shared" si="109"/>
        <v>679900</v>
      </c>
      <c r="K127" s="59">
        <f t="shared" si="109"/>
        <v>711175.4</v>
      </c>
      <c r="L127" s="59">
        <f t="shared" si="109"/>
        <v>366626.91</v>
      </c>
      <c r="M127" s="59">
        <f t="shared" si="109"/>
        <v>0</v>
      </c>
      <c r="N127" s="59">
        <f t="shared" si="109"/>
        <v>366626.91</v>
      </c>
      <c r="O127" s="76"/>
    </row>
    <row r="128" spans="1:16" s="77" customFormat="1" ht="14" thickTop="1" thickBot="1" x14ac:dyDescent="0.35">
      <c r="A128" s="60"/>
      <c r="B128" s="60"/>
      <c r="C128" s="78"/>
      <c r="D128" s="78"/>
      <c r="E128" s="53">
        <f t="shared" si="64"/>
        <v>0</v>
      </c>
      <c r="F128" s="62"/>
      <c r="G128" s="62"/>
      <c r="H128" s="224"/>
      <c r="I128" s="62"/>
      <c r="J128" s="78"/>
      <c r="K128" s="78"/>
      <c r="L128" s="67"/>
      <c r="M128" s="67"/>
      <c r="N128" s="67"/>
      <c r="O128" s="76"/>
    </row>
    <row r="129" spans="1:15" s="77" customFormat="1" ht="13.5" thickBot="1" x14ac:dyDescent="0.35">
      <c r="A129" s="70" t="s">
        <v>715</v>
      </c>
      <c r="B129" s="57"/>
      <c r="C129" s="59">
        <f>C127+C123+C101+C68</f>
        <v>47399207.552320883</v>
      </c>
      <c r="D129" s="59">
        <f t="shared" ref="D129:N129" si="110">D127+D123+D101+D68</f>
        <v>0</v>
      </c>
      <c r="E129" s="59">
        <f>E127+E123+E101+E68</f>
        <v>47399207.552320883</v>
      </c>
      <c r="F129" s="59">
        <f t="shared" ref="F129:J129" si="111">F127+F123+F101+F68</f>
        <v>0</v>
      </c>
      <c r="G129" s="59">
        <f t="shared" si="111"/>
        <v>47399207.552320883</v>
      </c>
      <c r="H129" s="222">
        <f t="shared" si="111"/>
        <v>1799942.2568969838</v>
      </c>
      <c r="I129" s="59">
        <f t="shared" si="111"/>
        <v>49199149.809217863</v>
      </c>
      <c r="J129" s="59">
        <f t="shared" si="111"/>
        <v>49443821.563991554</v>
      </c>
      <c r="K129" s="59">
        <f t="shared" si="110"/>
        <v>51659840.546195164</v>
      </c>
      <c r="L129" s="59">
        <f t="shared" si="110"/>
        <v>28388105.18</v>
      </c>
      <c r="M129" s="59">
        <f t="shared" si="110"/>
        <v>0</v>
      </c>
      <c r="N129" s="59">
        <f t="shared" si="110"/>
        <v>20811341.629217856</v>
      </c>
      <c r="O129" s="76"/>
    </row>
    <row r="130" spans="1:15" s="77" customFormat="1" ht="13.5" thickTop="1" x14ac:dyDescent="0.3">
      <c r="A130" s="60"/>
      <c r="B130" s="60"/>
      <c r="C130" s="78"/>
      <c r="D130" s="78"/>
      <c r="E130" s="53">
        <f t="shared" si="64"/>
        <v>0</v>
      </c>
      <c r="F130" s="62"/>
      <c r="G130" s="62"/>
      <c r="H130" s="224"/>
      <c r="I130" s="62"/>
      <c r="J130" s="78"/>
      <c r="K130" s="78"/>
      <c r="L130" s="67"/>
      <c r="M130" s="67"/>
      <c r="N130" s="67"/>
      <c r="O130" s="76"/>
    </row>
    <row r="131" spans="1:15" s="77" customFormat="1" x14ac:dyDescent="0.3">
      <c r="A131" s="51" t="s">
        <v>872</v>
      </c>
      <c r="B131" s="51"/>
      <c r="C131" s="67"/>
      <c r="D131" s="67"/>
      <c r="E131" s="53">
        <f t="shared" si="64"/>
        <v>0</v>
      </c>
      <c r="F131" s="53"/>
      <c r="G131" s="53"/>
      <c r="H131" s="221"/>
      <c r="I131" s="53"/>
      <c r="J131" s="67"/>
      <c r="K131" s="67"/>
      <c r="L131" s="67"/>
      <c r="M131" s="67"/>
      <c r="N131" s="67"/>
      <c r="O131" s="76"/>
    </row>
    <row r="132" spans="1:15" s="77" customFormat="1" x14ac:dyDescent="0.3">
      <c r="A132" s="51"/>
      <c r="B132" s="51"/>
      <c r="C132" s="67"/>
      <c r="D132" s="67"/>
      <c r="E132" s="53">
        <f t="shared" si="64"/>
        <v>0</v>
      </c>
      <c r="F132" s="53"/>
      <c r="G132" s="53"/>
      <c r="H132" s="221"/>
      <c r="I132" s="53"/>
      <c r="J132" s="67"/>
      <c r="K132" s="67"/>
      <c r="L132" s="67"/>
      <c r="M132" s="67"/>
      <c r="N132" s="67"/>
      <c r="O132" s="76"/>
    </row>
    <row r="133" spans="1:15" s="77" customFormat="1" x14ac:dyDescent="0.3">
      <c r="A133" s="51" t="s">
        <v>460</v>
      </c>
      <c r="B133" s="51"/>
      <c r="C133" s="67"/>
      <c r="D133" s="67"/>
      <c r="E133" s="53">
        <f t="shared" si="64"/>
        <v>0</v>
      </c>
      <c r="F133" s="53"/>
      <c r="G133" s="53"/>
      <c r="H133" s="221"/>
      <c r="I133" s="53"/>
      <c r="J133" s="67"/>
      <c r="K133" s="67"/>
      <c r="L133" s="67"/>
      <c r="M133" s="67"/>
      <c r="N133" s="67"/>
      <c r="O133" s="76"/>
    </row>
    <row r="134" spans="1:15" s="77" customFormat="1" x14ac:dyDescent="0.3">
      <c r="A134" s="51"/>
      <c r="B134" s="51"/>
      <c r="C134" s="67"/>
      <c r="D134" s="67"/>
      <c r="E134" s="53">
        <f t="shared" si="64"/>
        <v>0</v>
      </c>
      <c r="F134" s="53"/>
      <c r="G134" s="53"/>
      <c r="H134" s="221"/>
      <c r="I134" s="53"/>
      <c r="J134" s="67"/>
      <c r="K134" s="67"/>
      <c r="L134" s="67"/>
      <c r="M134" s="67"/>
      <c r="N134" s="67"/>
      <c r="O134" s="76"/>
    </row>
    <row r="135" spans="1:15" x14ac:dyDescent="0.3">
      <c r="A135" s="52" t="s">
        <v>1278</v>
      </c>
      <c r="B135" s="52" t="s">
        <v>504</v>
      </c>
      <c r="C135" s="53">
        <v>800000</v>
      </c>
      <c r="D135" s="53"/>
      <c r="E135" s="53">
        <f t="shared" si="64"/>
        <v>800000</v>
      </c>
      <c r="F135" s="53"/>
      <c r="G135" s="53">
        <f>E135+F135</f>
        <v>800000</v>
      </c>
      <c r="H135" s="221">
        <v>200000</v>
      </c>
      <c r="I135" s="53">
        <f>G135+H135</f>
        <v>1000000</v>
      </c>
      <c r="J135" s="53">
        <f>C135*104.6%</f>
        <v>836800</v>
      </c>
      <c r="K135" s="53">
        <f t="shared" ref="K135" si="112">J135*104.6%</f>
        <v>875292.8</v>
      </c>
      <c r="L135" s="53">
        <v>678177.28000000003</v>
      </c>
      <c r="M135" s="53">
        <v>33525</v>
      </c>
      <c r="N135" s="53">
        <f t="shared" ref="N135:N136" si="113">I135-L135-M135</f>
        <v>288297.71999999997</v>
      </c>
    </row>
    <row r="136" spans="1:15" x14ac:dyDescent="0.3">
      <c r="A136" s="52" t="s">
        <v>1317</v>
      </c>
      <c r="B136" s="52" t="s">
        <v>716</v>
      </c>
      <c r="C136" s="53">
        <v>700000</v>
      </c>
      <c r="D136" s="53"/>
      <c r="E136" s="53">
        <f t="shared" si="64"/>
        <v>700000</v>
      </c>
      <c r="F136" s="53"/>
      <c r="G136" s="53">
        <f>E136+F136</f>
        <v>700000</v>
      </c>
      <c r="H136" s="221">
        <v>-400000</v>
      </c>
      <c r="I136" s="53">
        <f>G136+H136</f>
        <v>300000</v>
      </c>
      <c r="J136" s="53">
        <f>C136*104.6%</f>
        <v>732200</v>
      </c>
      <c r="K136" s="53">
        <f t="shared" ref="K136" si="114">J136*104.6%</f>
        <v>765881.20000000007</v>
      </c>
      <c r="L136" s="53">
        <v>143567.29999999999</v>
      </c>
      <c r="M136" s="53"/>
      <c r="N136" s="53">
        <f t="shared" si="113"/>
        <v>156432.70000000001</v>
      </c>
    </row>
    <row r="137" spans="1:15" ht="13.5" thickBot="1" x14ac:dyDescent="0.35">
      <c r="A137" s="56"/>
      <c r="B137" s="56"/>
      <c r="C137" s="69"/>
      <c r="D137" s="69"/>
      <c r="E137" s="53">
        <f t="shared" si="64"/>
        <v>0</v>
      </c>
      <c r="F137" s="69"/>
      <c r="G137" s="69"/>
      <c r="H137" s="225"/>
      <c r="I137" s="69"/>
      <c r="J137" s="69"/>
      <c r="K137" s="69"/>
      <c r="L137" s="53"/>
      <c r="M137" s="53"/>
      <c r="N137" s="53">
        <f t="shared" ref="N137" si="115">I137-L137</f>
        <v>0</v>
      </c>
    </row>
    <row r="138" spans="1:15" ht="13.5" thickBot="1" x14ac:dyDescent="0.35">
      <c r="A138" s="57" t="s">
        <v>678</v>
      </c>
      <c r="B138" s="57"/>
      <c r="C138" s="59">
        <f>SUM(C135:C137)</f>
        <v>1500000</v>
      </c>
      <c r="D138" s="59">
        <f t="shared" ref="D138:N138" si="116">SUM(D135:D137)</f>
        <v>0</v>
      </c>
      <c r="E138" s="59">
        <f t="shared" si="116"/>
        <v>1500000</v>
      </c>
      <c r="F138" s="59">
        <f t="shared" si="116"/>
        <v>0</v>
      </c>
      <c r="G138" s="59">
        <f t="shared" si="116"/>
        <v>1500000</v>
      </c>
      <c r="H138" s="222">
        <f t="shared" si="116"/>
        <v>-200000</v>
      </c>
      <c r="I138" s="59">
        <f t="shared" si="116"/>
        <v>1300000</v>
      </c>
      <c r="J138" s="59">
        <f t="shared" si="116"/>
        <v>1569000</v>
      </c>
      <c r="K138" s="59">
        <f t="shared" si="116"/>
        <v>1641174</v>
      </c>
      <c r="L138" s="59">
        <f t="shared" si="116"/>
        <v>821744.58000000007</v>
      </c>
      <c r="M138" s="59">
        <f t="shared" si="116"/>
        <v>33525</v>
      </c>
      <c r="N138" s="59">
        <f t="shared" si="116"/>
        <v>444730.42</v>
      </c>
    </row>
    <row r="139" spans="1:15" ht="13.5" thickTop="1" x14ac:dyDescent="0.3">
      <c r="A139" s="61"/>
      <c r="B139" s="61"/>
      <c r="C139" s="62"/>
      <c r="D139" s="62"/>
      <c r="E139" s="53">
        <f t="shared" si="64"/>
        <v>0</v>
      </c>
      <c r="F139" s="62"/>
      <c r="G139" s="62"/>
      <c r="H139" s="224"/>
      <c r="I139" s="62"/>
      <c r="J139" s="62"/>
      <c r="K139" s="62"/>
      <c r="L139" s="53"/>
      <c r="M139" s="53"/>
      <c r="N139" s="53"/>
    </row>
    <row r="140" spans="1:15" x14ac:dyDescent="0.3">
      <c r="A140" s="51" t="s">
        <v>79</v>
      </c>
      <c r="B140" s="52"/>
      <c r="C140" s="53"/>
      <c r="D140" s="53"/>
      <c r="E140" s="53">
        <f t="shared" si="64"/>
        <v>0</v>
      </c>
      <c r="F140" s="53"/>
      <c r="G140" s="53"/>
      <c r="H140" s="221"/>
      <c r="I140" s="53"/>
      <c r="J140" s="53"/>
      <c r="K140" s="53"/>
      <c r="L140" s="53"/>
      <c r="M140" s="53"/>
      <c r="N140" s="53"/>
    </row>
    <row r="141" spans="1:15" x14ac:dyDescent="0.3">
      <c r="A141" s="52"/>
      <c r="B141" s="52" t="s">
        <v>185</v>
      </c>
      <c r="C141" s="53">
        <v>0</v>
      </c>
      <c r="D141" s="53"/>
      <c r="E141" s="53">
        <f t="shared" si="64"/>
        <v>0</v>
      </c>
      <c r="F141" s="53"/>
      <c r="G141" s="53">
        <f t="shared" ref="G141:G149" si="117">E141+F141</f>
        <v>0</v>
      </c>
      <c r="H141" s="221"/>
      <c r="I141" s="53">
        <f t="shared" ref="I141:I149" si="118">G141+H141</f>
        <v>0</v>
      </c>
      <c r="J141" s="53">
        <f t="shared" ref="J141:J149" si="119">C141*104.6%</f>
        <v>0</v>
      </c>
      <c r="K141" s="53">
        <f t="shared" ref="K141" si="120">J141*104.6%</f>
        <v>0</v>
      </c>
      <c r="L141" s="53"/>
      <c r="M141" s="53"/>
      <c r="N141" s="53">
        <f t="shared" ref="N141:N149" si="121">I141-L141</f>
        <v>0</v>
      </c>
    </row>
    <row r="142" spans="1:15" x14ac:dyDescent="0.3">
      <c r="A142" s="52"/>
      <c r="B142" s="52" t="s">
        <v>176</v>
      </c>
      <c r="C142" s="53">
        <v>0</v>
      </c>
      <c r="D142" s="53"/>
      <c r="E142" s="53">
        <f t="shared" si="64"/>
        <v>0</v>
      </c>
      <c r="F142" s="53"/>
      <c r="G142" s="53">
        <f t="shared" si="117"/>
        <v>0</v>
      </c>
      <c r="H142" s="221"/>
      <c r="I142" s="53">
        <f t="shared" si="118"/>
        <v>0</v>
      </c>
      <c r="J142" s="53">
        <f t="shared" si="119"/>
        <v>0</v>
      </c>
      <c r="K142" s="53">
        <f t="shared" ref="K142" si="122">J142*104.6%</f>
        <v>0</v>
      </c>
      <c r="L142" s="53"/>
      <c r="M142" s="53"/>
      <c r="N142" s="53">
        <f t="shared" si="121"/>
        <v>0</v>
      </c>
    </row>
    <row r="143" spans="1:15" x14ac:dyDescent="0.3">
      <c r="A143" s="52"/>
      <c r="B143" s="52" t="s">
        <v>182</v>
      </c>
      <c r="C143" s="53">
        <v>0</v>
      </c>
      <c r="D143" s="53"/>
      <c r="E143" s="53">
        <f t="shared" si="64"/>
        <v>0</v>
      </c>
      <c r="F143" s="53"/>
      <c r="G143" s="53">
        <f t="shared" si="117"/>
        <v>0</v>
      </c>
      <c r="H143" s="221"/>
      <c r="I143" s="53">
        <f t="shared" si="118"/>
        <v>0</v>
      </c>
      <c r="J143" s="53">
        <f t="shared" si="119"/>
        <v>0</v>
      </c>
      <c r="K143" s="53">
        <f t="shared" ref="K143" si="123">J143*104.6%</f>
        <v>0</v>
      </c>
      <c r="L143" s="53"/>
      <c r="M143" s="53"/>
      <c r="N143" s="53">
        <f t="shared" si="121"/>
        <v>0</v>
      </c>
    </row>
    <row r="144" spans="1:15" x14ac:dyDescent="0.3">
      <c r="A144" s="52"/>
      <c r="B144" s="52" t="s">
        <v>59</v>
      </c>
      <c r="C144" s="53">
        <v>0</v>
      </c>
      <c r="D144" s="53"/>
      <c r="E144" s="53">
        <f t="shared" si="64"/>
        <v>0</v>
      </c>
      <c r="F144" s="53"/>
      <c r="G144" s="53">
        <f t="shared" si="117"/>
        <v>0</v>
      </c>
      <c r="H144" s="221"/>
      <c r="I144" s="53">
        <f t="shared" si="118"/>
        <v>0</v>
      </c>
      <c r="J144" s="53">
        <f t="shared" si="119"/>
        <v>0</v>
      </c>
      <c r="K144" s="53">
        <f t="shared" ref="K144" si="124">J144*104.6%</f>
        <v>0</v>
      </c>
      <c r="L144" s="53"/>
      <c r="M144" s="53"/>
      <c r="N144" s="53">
        <f t="shared" si="121"/>
        <v>0</v>
      </c>
    </row>
    <row r="145" spans="1:14" x14ac:dyDescent="0.3">
      <c r="A145" s="52"/>
      <c r="B145" s="52" t="s">
        <v>168</v>
      </c>
      <c r="C145" s="53">
        <v>0</v>
      </c>
      <c r="D145" s="53"/>
      <c r="E145" s="53">
        <f t="shared" si="64"/>
        <v>0</v>
      </c>
      <c r="F145" s="53"/>
      <c r="G145" s="53">
        <f t="shared" si="117"/>
        <v>0</v>
      </c>
      <c r="H145" s="221"/>
      <c r="I145" s="53">
        <f t="shared" si="118"/>
        <v>0</v>
      </c>
      <c r="J145" s="53">
        <f t="shared" si="119"/>
        <v>0</v>
      </c>
      <c r="K145" s="53">
        <f t="shared" ref="K145" si="125">J145*104.6%</f>
        <v>0</v>
      </c>
      <c r="L145" s="53"/>
      <c r="M145" s="53"/>
      <c r="N145" s="53">
        <f t="shared" si="121"/>
        <v>0</v>
      </c>
    </row>
    <row r="146" spans="1:14" x14ac:dyDescent="0.3">
      <c r="A146" s="52"/>
      <c r="B146" s="52" t="s">
        <v>173</v>
      </c>
      <c r="C146" s="53">
        <v>0</v>
      </c>
      <c r="D146" s="53"/>
      <c r="E146" s="53">
        <f t="shared" si="64"/>
        <v>0</v>
      </c>
      <c r="F146" s="53"/>
      <c r="G146" s="53">
        <f t="shared" si="117"/>
        <v>0</v>
      </c>
      <c r="H146" s="221"/>
      <c r="I146" s="53">
        <f t="shared" si="118"/>
        <v>0</v>
      </c>
      <c r="J146" s="53">
        <f t="shared" si="119"/>
        <v>0</v>
      </c>
      <c r="K146" s="53">
        <f t="shared" ref="K146" si="126">J146*104.6%</f>
        <v>0</v>
      </c>
      <c r="L146" s="53"/>
      <c r="M146" s="53"/>
      <c r="N146" s="53">
        <f t="shared" si="121"/>
        <v>0</v>
      </c>
    </row>
    <row r="147" spans="1:14" x14ac:dyDescent="0.3">
      <c r="A147" s="52"/>
      <c r="B147" s="52" t="s">
        <v>192</v>
      </c>
      <c r="C147" s="53">
        <v>0</v>
      </c>
      <c r="D147" s="53"/>
      <c r="E147" s="53">
        <f t="shared" ref="E147:E156" si="127">C147+D147</f>
        <v>0</v>
      </c>
      <c r="F147" s="53"/>
      <c r="G147" s="53">
        <f t="shared" si="117"/>
        <v>0</v>
      </c>
      <c r="H147" s="221"/>
      <c r="I147" s="53">
        <f t="shared" si="118"/>
        <v>0</v>
      </c>
      <c r="J147" s="53">
        <f t="shared" si="119"/>
        <v>0</v>
      </c>
      <c r="K147" s="53">
        <f t="shared" ref="K147" si="128">J147*104.6%</f>
        <v>0</v>
      </c>
      <c r="L147" s="53"/>
      <c r="M147" s="53"/>
      <c r="N147" s="53">
        <f t="shared" si="121"/>
        <v>0</v>
      </c>
    </row>
    <row r="148" spans="1:14" x14ac:dyDescent="0.3">
      <c r="A148" s="52"/>
      <c r="B148" s="52" t="s">
        <v>57</v>
      </c>
      <c r="C148" s="53">
        <v>0</v>
      </c>
      <c r="D148" s="53"/>
      <c r="E148" s="53">
        <f t="shared" si="127"/>
        <v>0</v>
      </c>
      <c r="F148" s="53"/>
      <c r="G148" s="53">
        <f t="shared" si="117"/>
        <v>0</v>
      </c>
      <c r="H148" s="221"/>
      <c r="I148" s="53">
        <f t="shared" si="118"/>
        <v>0</v>
      </c>
      <c r="J148" s="53">
        <f t="shared" si="119"/>
        <v>0</v>
      </c>
      <c r="K148" s="53">
        <f t="shared" ref="K148" si="129">J148*104.6%</f>
        <v>0</v>
      </c>
      <c r="L148" s="53"/>
      <c r="M148" s="53"/>
      <c r="N148" s="53">
        <f t="shared" si="121"/>
        <v>0</v>
      </c>
    </row>
    <row r="149" spans="1:14" x14ac:dyDescent="0.3">
      <c r="A149" s="52"/>
      <c r="B149" s="52" t="s">
        <v>179</v>
      </c>
      <c r="C149" s="53">
        <v>0</v>
      </c>
      <c r="D149" s="53"/>
      <c r="E149" s="53">
        <f t="shared" si="127"/>
        <v>0</v>
      </c>
      <c r="F149" s="53"/>
      <c r="G149" s="53">
        <f t="shared" si="117"/>
        <v>0</v>
      </c>
      <c r="H149" s="221"/>
      <c r="I149" s="53">
        <f t="shared" si="118"/>
        <v>0</v>
      </c>
      <c r="J149" s="53">
        <f t="shared" si="119"/>
        <v>0</v>
      </c>
      <c r="K149" s="53">
        <f t="shared" ref="K149" si="130">J149*104.6%</f>
        <v>0</v>
      </c>
      <c r="L149" s="53"/>
      <c r="M149" s="53"/>
      <c r="N149" s="53">
        <f t="shared" si="121"/>
        <v>0</v>
      </c>
    </row>
    <row r="150" spans="1:14" ht="13.5" thickBot="1" x14ac:dyDescent="0.35">
      <c r="A150" s="55"/>
      <c r="B150" s="55"/>
      <c r="C150" s="69"/>
      <c r="D150" s="69"/>
      <c r="E150" s="69">
        <f t="shared" si="127"/>
        <v>0</v>
      </c>
      <c r="F150" s="69"/>
      <c r="G150" s="69"/>
      <c r="H150" s="225"/>
      <c r="I150" s="69"/>
      <c r="J150" s="69"/>
      <c r="K150" s="69"/>
      <c r="L150" s="53"/>
      <c r="M150" s="53"/>
      <c r="N150" s="53"/>
    </row>
    <row r="151" spans="1:14" ht="13.5" thickBot="1" x14ac:dyDescent="0.35">
      <c r="A151" s="57" t="s">
        <v>203</v>
      </c>
      <c r="B151" s="57"/>
      <c r="C151" s="95">
        <f>SUM(C141:C150)</f>
        <v>0</v>
      </c>
      <c r="D151" s="95"/>
      <c r="E151" s="157">
        <f t="shared" si="127"/>
        <v>0</v>
      </c>
      <c r="F151" s="157">
        <f t="shared" ref="F151" si="131">D151+E151</f>
        <v>0</v>
      </c>
      <c r="G151" s="157">
        <f t="shared" ref="G151" si="132">E151+F151</f>
        <v>0</v>
      </c>
      <c r="H151" s="229">
        <f t="shared" ref="H151" si="133">F151+G151</f>
        <v>0</v>
      </c>
      <c r="I151" s="157">
        <f>G151+H151</f>
        <v>0</v>
      </c>
      <c r="J151" s="157">
        <f>H151+I151</f>
        <v>0</v>
      </c>
      <c r="K151" s="157">
        <f t="shared" ref="K151" si="134">I151+J151</f>
        <v>0</v>
      </c>
      <c r="L151" s="53"/>
      <c r="M151" s="53"/>
      <c r="N151" s="53"/>
    </row>
    <row r="152" spans="1:14" ht="14" thickTop="1" thickBot="1" x14ac:dyDescent="0.35">
      <c r="A152" s="73"/>
      <c r="B152" s="73"/>
      <c r="C152" s="79"/>
      <c r="D152" s="79"/>
      <c r="E152" s="62">
        <f t="shared" si="127"/>
        <v>0</v>
      </c>
      <c r="F152" s="79"/>
      <c r="G152" s="79"/>
      <c r="H152" s="226"/>
      <c r="I152" s="79"/>
      <c r="J152" s="79"/>
      <c r="K152" s="79"/>
      <c r="L152" s="53"/>
      <c r="M152" s="53"/>
      <c r="N152" s="53"/>
    </row>
    <row r="153" spans="1:14" ht="13.5" thickBot="1" x14ac:dyDescent="0.35">
      <c r="A153" s="70" t="s">
        <v>717</v>
      </c>
      <c r="B153" s="70"/>
      <c r="C153" s="72">
        <f>C151+C138</f>
        <v>1500000</v>
      </c>
      <c r="D153" s="72">
        <f t="shared" ref="D153:N153" si="135">D151+D138</f>
        <v>0</v>
      </c>
      <c r="E153" s="72">
        <f t="shared" si="135"/>
        <v>1500000</v>
      </c>
      <c r="F153" s="72">
        <f t="shared" si="135"/>
        <v>0</v>
      </c>
      <c r="G153" s="72">
        <f t="shared" si="135"/>
        <v>1500000</v>
      </c>
      <c r="H153" s="230">
        <f t="shared" si="135"/>
        <v>-200000</v>
      </c>
      <c r="I153" s="72">
        <f t="shared" si="135"/>
        <v>1300000</v>
      </c>
      <c r="J153" s="72">
        <f t="shared" si="135"/>
        <v>1569000</v>
      </c>
      <c r="K153" s="72">
        <f t="shared" si="135"/>
        <v>1641174</v>
      </c>
      <c r="L153" s="72">
        <f t="shared" si="135"/>
        <v>821744.58000000007</v>
      </c>
      <c r="M153" s="72">
        <f t="shared" si="135"/>
        <v>33525</v>
      </c>
      <c r="N153" s="72">
        <f t="shared" si="135"/>
        <v>444730.42</v>
      </c>
    </row>
    <row r="154" spans="1:14" ht="14" thickTop="1" thickBot="1" x14ac:dyDescent="0.35">
      <c r="A154" s="73"/>
      <c r="B154" s="73"/>
      <c r="C154" s="79"/>
      <c r="D154" s="79"/>
      <c r="E154" s="53">
        <f t="shared" si="127"/>
        <v>0</v>
      </c>
      <c r="F154" s="79"/>
      <c r="G154" s="79"/>
      <c r="H154" s="226"/>
      <c r="I154" s="79"/>
      <c r="J154" s="79"/>
      <c r="K154" s="79"/>
      <c r="L154" s="53"/>
      <c r="M154" s="53"/>
      <c r="N154" s="53"/>
    </row>
    <row r="155" spans="1:14" ht="13.5" thickBot="1" x14ac:dyDescent="0.35">
      <c r="A155" s="70" t="s">
        <v>736</v>
      </c>
      <c r="B155" s="70"/>
      <c r="C155" s="72">
        <f>C153+C129</f>
        <v>48899207.552320883</v>
      </c>
      <c r="D155" s="72">
        <f t="shared" ref="D155:N155" si="136">D153+D129</f>
        <v>0</v>
      </c>
      <c r="E155" s="72">
        <f t="shared" si="136"/>
        <v>48899207.552320883</v>
      </c>
      <c r="F155" s="72">
        <f t="shared" si="136"/>
        <v>0</v>
      </c>
      <c r="G155" s="72">
        <f t="shared" si="136"/>
        <v>48899207.552320883</v>
      </c>
      <c r="H155" s="230">
        <f t="shared" si="136"/>
        <v>1599942.2568969838</v>
      </c>
      <c r="I155" s="72">
        <f t="shared" si="136"/>
        <v>50499149.809217863</v>
      </c>
      <c r="J155" s="72">
        <f t="shared" si="136"/>
        <v>51012821.563991554</v>
      </c>
      <c r="K155" s="72">
        <f t="shared" si="136"/>
        <v>53301014.546195164</v>
      </c>
      <c r="L155" s="72">
        <f t="shared" si="136"/>
        <v>29209849.759999998</v>
      </c>
      <c r="M155" s="72">
        <f t="shared" si="136"/>
        <v>33525</v>
      </c>
      <c r="N155" s="72">
        <f t="shared" si="136"/>
        <v>21256072.049217857</v>
      </c>
    </row>
    <row r="156" spans="1:14" ht="14" thickTop="1" thickBot="1" x14ac:dyDescent="0.35">
      <c r="A156" s="85"/>
      <c r="B156" s="85"/>
      <c r="C156" s="86"/>
      <c r="D156" s="86"/>
      <c r="E156" s="53">
        <f t="shared" si="127"/>
        <v>0</v>
      </c>
      <c r="F156" s="79"/>
      <c r="G156" s="79"/>
      <c r="H156" s="226"/>
      <c r="I156" s="79"/>
      <c r="J156" s="86"/>
      <c r="K156" s="86"/>
      <c r="L156" s="53"/>
      <c r="M156" s="53"/>
      <c r="N156" s="53"/>
    </row>
    <row r="157" spans="1:14" ht="14" thickTop="1" thickBot="1" x14ac:dyDescent="0.35">
      <c r="A157" s="102" t="s">
        <v>696</v>
      </c>
      <c r="B157" s="65"/>
      <c r="C157" s="87">
        <f>C153+C129+C54</f>
        <v>-144077727.60767913</v>
      </c>
      <c r="D157" s="87">
        <f t="shared" ref="D157:N157" si="137">D153+D129+D54</f>
        <v>0</v>
      </c>
      <c r="E157" s="82">
        <f t="shared" si="137"/>
        <v>-144077727.60767913</v>
      </c>
      <c r="F157" s="82">
        <f t="shared" si="137"/>
        <v>0</v>
      </c>
      <c r="G157" s="82">
        <f t="shared" si="137"/>
        <v>-144077727.60767913</v>
      </c>
      <c r="H157" s="227">
        <f t="shared" si="137"/>
        <v>6020561.4968969841</v>
      </c>
      <c r="I157" s="82">
        <f t="shared" si="137"/>
        <v>-138057166.11078215</v>
      </c>
      <c r="J157" s="82">
        <f t="shared" si="137"/>
        <v>-155359948.61336845</v>
      </c>
      <c r="K157" s="82">
        <f t="shared" si="137"/>
        <v>-164627203.05932343</v>
      </c>
      <c r="L157" s="82">
        <f t="shared" si="137"/>
        <v>-142229246.24000001</v>
      </c>
      <c r="M157" s="82">
        <f t="shared" si="137"/>
        <v>33525</v>
      </c>
      <c r="N157" s="82">
        <f t="shared" si="137"/>
        <v>4138852.1292178556</v>
      </c>
    </row>
    <row r="158" spans="1:14" ht="13.5" thickTop="1" x14ac:dyDescent="0.3"/>
    <row r="164" spans="3:9" x14ac:dyDescent="0.3">
      <c r="E164" s="64">
        <v>1530000</v>
      </c>
    </row>
    <row r="165" spans="3:9" x14ac:dyDescent="0.3">
      <c r="E165" s="64">
        <f>E1-E164</f>
        <v>-1530000</v>
      </c>
    </row>
    <row r="166" spans="3:9" x14ac:dyDescent="0.3">
      <c r="C166" s="88"/>
      <c r="D166" s="88"/>
      <c r="E166" s="88"/>
      <c r="F166" s="88"/>
      <c r="G166" s="88"/>
      <c r="H166" s="231"/>
      <c r="I166" s="88"/>
    </row>
    <row r="169" spans="3:9" x14ac:dyDescent="0.3">
      <c r="C169" s="88"/>
      <c r="D169" s="88"/>
      <c r="E169" s="88"/>
      <c r="F169" s="88"/>
      <c r="G169" s="88"/>
      <c r="H169" s="231"/>
      <c r="I169" s="88"/>
    </row>
  </sheetData>
  <sortState xmlns:xlrd2="http://schemas.microsoft.com/office/spreadsheetml/2017/richdata2" ref="A125:L141">
    <sortCondition ref="B125:B141"/>
  </sortState>
  <mergeCells count="1">
    <mergeCell ref="A2:K2"/>
  </mergeCells>
  <printOptions gridLines="1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65"/>
  <sheetViews>
    <sheetView view="pageBreakPreview" zoomScale="80" zoomScaleNormal="80" zoomScaleSheetLayoutView="80" workbookViewId="0">
      <pane xSplit="2" ySplit="3" topLeftCell="C320" activePane="bottomRight" state="frozen"/>
      <selection sqref="A1:XFD1048576"/>
      <selection pane="topRight" sqref="A1:XFD1048576"/>
      <selection pane="bottomLeft" sqref="A1:XFD1048576"/>
      <selection pane="bottomRight" activeCell="A335" sqref="A335"/>
    </sheetView>
  </sheetViews>
  <sheetFormatPr defaultColWidth="9.1796875" defaultRowHeight="14" x14ac:dyDescent="0.3"/>
  <cols>
    <col min="1" max="1" width="39.54296875" style="48" customWidth="1"/>
    <col min="2" max="2" width="44.1796875" style="48" customWidth="1"/>
    <col min="3" max="4" width="17.26953125" style="49" hidden="1" customWidth="1"/>
    <col min="5" max="5" width="13.36328125" style="49" bestFit="1" customWidth="1"/>
    <col min="6" max="6" width="17.26953125" style="49" hidden="1" customWidth="1"/>
    <col min="7" max="7" width="13.7265625" style="49" bestFit="1" customWidth="1"/>
    <col min="8" max="8" width="11.6328125" style="203" bestFit="1" customWidth="1"/>
    <col min="9" max="9" width="15.08984375" style="49" bestFit="1" customWidth="1"/>
    <col min="10" max="11" width="14.26953125" style="49" customWidth="1"/>
    <col min="12" max="12" width="15.08984375" style="49" bestFit="1" customWidth="1"/>
    <col min="13" max="13" width="15.08984375" style="49" customWidth="1"/>
    <col min="14" max="14" width="12.54296875" style="49" bestFit="1" customWidth="1"/>
    <col min="15" max="15" width="11.7265625" style="49" bestFit="1" customWidth="1"/>
    <col min="16" max="16" width="10.6328125" style="49" bestFit="1" customWidth="1"/>
    <col min="17" max="16384" width="9.1796875" style="48"/>
  </cols>
  <sheetData>
    <row r="1" spans="1:14" ht="14.5" thickBot="1" x14ac:dyDescent="0.35">
      <c r="B1" s="214">
        <f>'2020 2021 ADJU BUDGET SUMMARY'!J24</f>
        <v>-58996.24570569396</v>
      </c>
      <c r="C1" s="64">
        <f>'2020 2021 ADJU BUDGET SUMMARY'!J24</f>
        <v>-58996.24570569396</v>
      </c>
      <c r="D1" s="64"/>
      <c r="E1" s="64"/>
      <c r="F1" s="64"/>
      <c r="G1" s="64"/>
      <c r="H1" s="167"/>
      <c r="I1" s="64"/>
    </row>
    <row r="2" spans="1:14" ht="14.5" thickBot="1" x14ac:dyDescent="0.35">
      <c r="A2" s="244" t="s">
        <v>1363</v>
      </c>
      <c r="B2" s="245"/>
      <c r="C2" s="245"/>
      <c r="D2" s="245"/>
      <c r="E2" s="245"/>
      <c r="F2" s="245"/>
      <c r="G2" s="245"/>
      <c r="H2" s="245"/>
      <c r="I2" s="245"/>
      <c r="J2" s="245"/>
      <c r="K2" s="246"/>
    </row>
    <row r="3" spans="1:14" ht="39.5" thickBot="1" x14ac:dyDescent="0.35">
      <c r="A3" s="75" t="s">
        <v>0</v>
      </c>
      <c r="B3" s="75" t="s">
        <v>1</v>
      </c>
      <c r="C3" s="199" t="s">
        <v>673</v>
      </c>
      <c r="D3" s="163" t="s">
        <v>1224</v>
      </c>
      <c r="E3" s="163" t="s">
        <v>1225</v>
      </c>
      <c r="F3" s="163" t="s">
        <v>1289</v>
      </c>
      <c r="G3" s="163" t="s">
        <v>1329</v>
      </c>
      <c r="H3" s="168" t="s">
        <v>1289</v>
      </c>
      <c r="I3" s="163" t="s">
        <v>1330</v>
      </c>
      <c r="J3" s="163" t="s">
        <v>674</v>
      </c>
      <c r="K3" s="163" t="s">
        <v>675</v>
      </c>
      <c r="L3" s="163" t="s">
        <v>1350</v>
      </c>
      <c r="M3" s="163" t="s">
        <v>1346</v>
      </c>
      <c r="N3" s="163" t="s">
        <v>1331</v>
      </c>
    </row>
    <row r="4" spans="1:14" x14ac:dyDescent="0.3">
      <c r="A4" s="50"/>
      <c r="B4" s="50"/>
      <c r="C4" s="50"/>
      <c r="D4" s="50"/>
      <c r="E4" s="50"/>
      <c r="F4" s="50"/>
      <c r="G4" s="50"/>
      <c r="H4" s="169"/>
      <c r="I4" s="50"/>
      <c r="J4" s="50"/>
      <c r="K4" s="50"/>
      <c r="L4" s="200"/>
      <c r="M4" s="200"/>
      <c r="N4" s="200"/>
    </row>
    <row r="5" spans="1:14" x14ac:dyDescent="0.3">
      <c r="A5" s="247" t="s">
        <v>873</v>
      </c>
      <c r="B5" s="249"/>
      <c r="C5" s="90"/>
      <c r="D5" s="90"/>
      <c r="E5" s="50"/>
      <c r="F5" s="50"/>
      <c r="G5" s="50"/>
      <c r="H5" s="169"/>
      <c r="I5" s="50"/>
      <c r="J5" s="50"/>
      <c r="K5" s="50"/>
      <c r="L5" s="200"/>
      <c r="M5" s="200"/>
      <c r="N5" s="200"/>
    </row>
    <row r="6" spans="1:14" x14ac:dyDescent="0.3">
      <c r="A6" s="50"/>
      <c r="B6" s="50"/>
      <c r="C6" s="50"/>
      <c r="D6" s="50"/>
      <c r="E6" s="50"/>
      <c r="F6" s="50"/>
      <c r="G6" s="50"/>
      <c r="H6" s="169"/>
      <c r="I6" s="50"/>
      <c r="J6" s="50"/>
      <c r="K6" s="50"/>
      <c r="L6" s="200"/>
      <c r="M6" s="200"/>
      <c r="N6" s="200"/>
    </row>
    <row r="7" spans="1:14" x14ac:dyDescent="0.3">
      <c r="A7" s="50" t="s">
        <v>75</v>
      </c>
      <c r="B7" s="50"/>
      <c r="C7" s="50"/>
      <c r="D7" s="50"/>
      <c r="E7" s="50"/>
      <c r="F7" s="50"/>
      <c r="G7" s="50"/>
      <c r="H7" s="169"/>
      <c r="I7" s="50"/>
      <c r="J7" s="50"/>
      <c r="K7" s="50"/>
      <c r="L7" s="200"/>
      <c r="M7" s="200"/>
      <c r="N7" s="200"/>
    </row>
    <row r="8" spans="1:14" x14ac:dyDescent="0.3">
      <c r="A8" s="51" t="s">
        <v>74</v>
      </c>
      <c r="B8" s="50"/>
      <c r="C8" s="50"/>
      <c r="D8" s="50"/>
      <c r="E8" s="50"/>
      <c r="F8" s="50"/>
      <c r="G8" s="50"/>
      <c r="H8" s="169"/>
      <c r="I8" s="50"/>
      <c r="J8" s="50"/>
      <c r="K8" s="50"/>
      <c r="L8" s="200"/>
      <c r="M8" s="200"/>
      <c r="N8" s="200"/>
    </row>
    <row r="9" spans="1:14" ht="14.5" thickBot="1" x14ac:dyDescent="0.35">
      <c r="A9" s="69" t="s">
        <v>1233</v>
      </c>
      <c r="B9" s="154" t="s">
        <v>1235</v>
      </c>
      <c r="C9" s="154"/>
      <c r="D9" s="154"/>
      <c r="E9" s="154"/>
      <c r="F9" s="154"/>
      <c r="G9" s="53">
        <f>E9+F9</f>
        <v>0</v>
      </c>
      <c r="H9" s="173"/>
      <c r="I9" s="69">
        <f>G9+H9</f>
        <v>0</v>
      </c>
      <c r="J9" s="154">
        <v>-500000</v>
      </c>
      <c r="K9" s="154"/>
      <c r="L9" s="200"/>
      <c r="M9" s="200"/>
      <c r="N9" s="53">
        <f>I9-L9-M9</f>
        <v>0</v>
      </c>
    </row>
    <row r="10" spans="1:14" ht="14.5" thickBot="1" x14ac:dyDescent="0.35">
      <c r="A10" s="100" t="s">
        <v>202</v>
      </c>
      <c r="B10" s="153"/>
      <c r="C10" s="153">
        <f>SUM(C9)</f>
        <v>0</v>
      </c>
      <c r="D10" s="153">
        <f t="shared" ref="D10" si="0">SUM(D9)</f>
        <v>0</v>
      </c>
      <c r="E10" s="153">
        <f>SUM(E9)</f>
        <v>0</v>
      </c>
      <c r="F10" s="153">
        <f t="shared" ref="F10:N10" si="1">SUM(F9)</f>
        <v>0</v>
      </c>
      <c r="G10" s="153">
        <f t="shared" si="1"/>
        <v>0</v>
      </c>
      <c r="H10" s="178">
        <f t="shared" si="1"/>
        <v>0</v>
      </c>
      <c r="I10" s="153">
        <f t="shared" si="1"/>
        <v>0</v>
      </c>
      <c r="J10" s="153">
        <f t="shared" si="1"/>
        <v>-500000</v>
      </c>
      <c r="K10" s="153">
        <f t="shared" si="1"/>
        <v>0</v>
      </c>
      <c r="L10" s="153">
        <f t="shared" si="1"/>
        <v>0</v>
      </c>
      <c r="M10" s="153">
        <f t="shared" si="1"/>
        <v>0</v>
      </c>
      <c r="N10" s="153">
        <f t="shared" si="1"/>
        <v>0</v>
      </c>
    </row>
    <row r="11" spans="1:14" x14ac:dyDescent="0.3">
      <c r="A11" s="152"/>
      <c r="B11" s="152"/>
      <c r="C11" s="152"/>
      <c r="D11" s="152"/>
      <c r="E11" s="152"/>
      <c r="F11" s="152"/>
      <c r="G11" s="152"/>
      <c r="H11" s="179"/>
      <c r="I11" s="152"/>
      <c r="J11" s="152"/>
      <c r="K11" s="152"/>
      <c r="L11" s="200"/>
      <c r="M11" s="200"/>
      <c r="N11" s="200"/>
    </row>
    <row r="12" spans="1:14" x14ac:dyDescent="0.3">
      <c r="A12" s="51" t="s">
        <v>460</v>
      </c>
      <c r="B12" s="52"/>
      <c r="C12" s="53"/>
      <c r="D12" s="53"/>
      <c r="E12" s="53"/>
      <c r="F12" s="53"/>
      <c r="G12" s="53"/>
      <c r="H12" s="170"/>
      <c r="I12" s="53"/>
      <c r="J12" s="53"/>
      <c r="K12" s="53"/>
      <c r="L12" s="200"/>
      <c r="M12" s="200"/>
      <c r="N12" s="200"/>
    </row>
    <row r="13" spans="1:14" x14ac:dyDescent="0.3">
      <c r="A13" s="52"/>
      <c r="B13" s="51" t="s">
        <v>503</v>
      </c>
      <c r="C13" s="54"/>
      <c r="D13" s="54"/>
      <c r="E13" s="54"/>
      <c r="F13" s="54"/>
      <c r="G13" s="54"/>
      <c r="H13" s="180"/>
      <c r="I13" s="54"/>
      <c r="J13" s="53"/>
      <c r="K13" s="53"/>
      <c r="L13" s="200"/>
      <c r="M13" s="200"/>
      <c r="N13" s="200"/>
    </row>
    <row r="14" spans="1:14" x14ac:dyDescent="0.3">
      <c r="A14" s="52" t="s">
        <v>874</v>
      </c>
      <c r="B14" s="166" t="s">
        <v>85</v>
      </c>
      <c r="C14" s="54">
        <v>765000</v>
      </c>
      <c r="D14" s="54"/>
      <c r="E14" s="54">
        <f>C14+D14</f>
        <v>765000</v>
      </c>
      <c r="F14" s="54"/>
      <c r="G14" s="53">
        <f t="shared" ref="G14:G25" si="2">E14+F14</f>
        <v>765000</v>
      </c>
      <c r="H14" s="170">
        <f>-49490-190000-202607</f>
        <v>-442097</v>
      </c>
      <c r="I14" s="69">
        <f t="shared" ref="I14:I25" si="3">G14+H14</f>
        <v>322903</v>
      </c>
      <c r="J14" s="53">
        <f>C14*104.6%</f>
        <v>800190</v>
      </c>
      <c r="K14" s="53">
        <f t="shared" ref="K14" si="4">J14*104.6%</f>
        <v>836998.74</v>
      </c>
      <c r="L14" s="200">
        <v>315510</v>
      </c>
      <c r="M14" s="200">
        <v>7393</v>
      </c>
      <c r="N14" s="53">
        <f>I14-L14-M14</f>
        <v>0</v>
      </c>
    </row>
    <row r="15" spans="1:14" x14ac:dyDescent="0.3">
      <c r="A15" s="52" t="s">
        <v>875</v>
      </c>
      <c r="B15" s="166" t="s">
        <v>1281</v>
      </c>
      <c r="C15" s="54">
        <v>80000</v>
      </c>
      <c r="D15" s="54"/>
      <c r="E15" s="54">
        <f t="shared" ref="E15:E80" si="5">C15+D15</f>
        <v>80000</v>
      </c>
      <c r="F15" s="54"/>
      <c r="G15" s="53">
        <f t="shared" si="2"/>
        <v>80000</v>
      </c>
      <c r="H15" s="170">
        <f>33000+120000-120000</f>
        <v>33000</v>
      </c>
      <c r="I15" s="69">
        <f t="shared" si="3"/>
        <v>113000</v>
      </c>
      <c r="J15" s="53">
        <f>C15*104.6%</f>
        <v>83680</v>
      </c>
      <c r="K15" s="53">
        <f t="shared" ref="K15" si="6">J15*104.6%</f>
        <v>87529.279999999999</v>
      </c>
      <c r="L15" s="200">
        <v>113000</v>
      </c>
      <c r="M15" s="200"/>
      <c r="N15" s="53">
        <f t="shared" ref="N15:N25" si="7">I15-L15-M15</f>
        <v>0</v>
      </c>
    </row>
    <row r="16" spans="1:14" x14ac:dyDescent="0.3">
      <c r="A16" s="52" t="s">
        <v>876</v>
      </c>
      <c r="B16" s="166" t="s">
        <v>84</v>
      </c>
      <c r="C16" s="54">
        <v>340000</v>
      </c>
      <c r="D16" s="54"/>
      <c r="E16" s="54">
        <f t="shared" si="5"/>
        <v>340000</v>
      </c>
      <c r="F16" s="54"/>
      <c r="G16" s="53">
        <f t="shared" si="2"/>
        <v>340000</v>
      </c>
      <c r="H16" s="170">
        <f>152000-100000-122099.2</f>
        <v>-70099.199999999997</v>
      </c>
      <c r="I16" s="69">
        <f t="shared" si="3"/>
        <v>269900.79999999999</v>
      </c>
      <c r="J16" s="53">
        <f>C16*104.6%</f>
        <v>355640</v>
      </c>
      <c r="K16" s="53">
        <f t="shared" ref="K16" si="8">J16*104.6%</f>
        <v>371999.44</v>
      </c>
      <c r="L16" s="200">
        <v>241000.8</v>
      </c>
      <c r="M16" s="200">
        <v>28900</v>
      </c>
      <c r="N16" s="53">
        <f t="shared" si="7"/>
        <v>0</v>
      </c>
    </row>
    <row r="17" spans="1:14" x14ac:dyDescent="0.3">
      <c r="A17" s="52" t="s">
        <v>877</v>
      </c>
      <c r="B17" s="166" t="s">
        <v>113</v>
      </c>
      <c r="C17" s="54">
        <v>1300000</v>
      </c>
      <c r="D17" s="54"/>
      <c r="E17" s="54">
        <f t="shared" si="5"/>
        <v>1300000</v>
      </c>
      <c r="F17" s="54"/>
      <c r="G17" s="53">
        <f t="shared" si="2"/>
        <v>1300000</v>
      </c>
      <c r="H17" s="170">
        <f>-275500-100000-400000-200000</f>
        <v>-975500</v>
      </c>
      <c r="I17" s="69">
        <f t="shared" si="3"/>
        <v>324500</v>
      </c>
      <c r="J17" s="53">
        <f>C17*104.6%</f>
        <v>1359800</v>
      </c>
      <c r="K17" s="53">
        <f t="shared" ref="K17" si="9">J17*104.6%</f>
        <v>1422350.8</v>
      </c>
      <c r="L17" s="200">
        <v>324500</v>
      </c>
      <c r="M17" s="200"/>
      <c r="N17" s="53">
        <f t="shared" si="7"/>
        <v>0</v>
      </c>
    </row>
    <row r="18" spans="1:14" x14ac:dyDescent="0.3">
      <c r="A18" s="52" t="s">
        <v>878</v>
      </c>
      <c r="B18" s="166" t="s">
        <v>86</v>
      </c>
      <c r="C18" s="54">
        <v>670000</v>
      </c>
      <c r="D18" s="54"/>
      <c r="E18" s="54">
        <f t="shared" si="5"/>
        <v>670000</v>
      </c>
      <c r="F18" s="54"/>
      <c r="G18" s="53">
        <f t="shared" si="2"/>
        <v>670000</v>
      </c>
      <c r="H18" s="170">
        <f>-250000-150000</f>
        <v>-400000</v>
      </c>
      <c r="I18" s="69">
        <f t="shared" si="3"/>
        <v>270000</v>
      </c>
      <c r="J18" s="53">
        <f>C18*104.6%</f>
        <v>700820</v>
      </c>
      <c r="K18" s="53">
        <f t="shared" ref="K18" si="10">J18*104.6%</f>
        <v>733057.72</v>
      </c>
      <c r="L18" s="200">
        <v>270000</v>
      </c>
      <c r="M18" s="200"/>
      <c r="N18" s="53">
        <f t="shared" si="7"/>
        <v>0</v>
      </c>
    </row>
    <row r="19" spans="1:14" x14ac:dyDescent="0.3">
      <c r="A19" s="52"/>
      <c r="B19" s="52"/>
      <c r="C19" s="54"/>
      <c r="D19" s="54"/>
      <c r="E19" s="54"/>
      <c r="F19" s="54"/>
      <c r="G19" s="53">
        <f t="shared" si="2"/>
        <v>0</v>
      </c>
      <c r="H19" s="170"/>
      <c r="I19" s="69">
        <f t="shared" si="3"/>
        <v>0</v>
      </c>
      <c r="J19" s="53"/>
      <c r="K19" s="53"/>
      <c r="L19" s="200"/>
      <c r="M19" s="200"/>
      <c r="N19" s="53">
        <f t="shared" si="7"/>
        <v>0</v>
      </c>
    </row>
    <row r="20" spans="1:14" x14ac:dyDescent="0.3">
      <c r="A20" s="52" t="s">
        <v>1234</v>
      </c>
      <c r="B20" s="52" t="s">
        <v>1235</v>
      </c>
      <c r="C20" s="54"/>
      <c r="D20" s="54"/>
      <c r="E20" s="54"/>
      <c r="F20" s="54"/>
      <c r="G20" s="53">
        <f t="shared" si="2"/>
        <v>0</v>
      </c>
      <c r="H20" s="170"/>
      <c r="I20" s="69">
        <f t="shared" si="3"/>
        <v>0</v>
      </c>
      <c r="J20" s="53">
        <v>500000</v>
      </c>
      <c r="K20" s="53"/>
      <c r="L20" s="200"/>
      <c r="M20" s="200"/>
      <c r="N20" s="53">
        <f t="shared" si="7"/>
        <v>0</v>
      </c>
    </row>
    <row r="21" spans="1:14" x14ac:dyDescent="0.3">
      <c r="A21" s="52"/>
      <c r="B21" s="52"/>
      <c r="C21" s="54">
        <v>0</v>
      </c>
      <c r="D21" s="54"/>
      <c r="E21" s="54">
        <f t="shared" si="5"/>
        <v>0</v>
      </c>
      <c r="F21" s="54"/>
      <c r="G21" s="53">
        <f t="shared" si="2"/>
        <v>0</v>
      </c>
      <c r="H21" s="170"/>
      <c r="I21" s="69">
        <f t="shared" si="3"/>
        <v>0</v>
      </c>
      <c r="J21" s="53">
        <f>C21*104.6%</f>
        <v>0</v>
      </c>
      <c r="K21" s="53">
        <f t="shared" ref="K21" si="11">J21*104.6%</f>
        <v>0</v>
      </c>
      <c r="L21" s="200"/>
      <c r="M21" s="200"/>
      <c r="N21" s="53">
        <f t="shared" si="7"/>
        <v>0</v>
      </c>
    </row>
    <row r="22" spans="1:14" x14ac:dyDescent="0.3">
      <c r="A22" s="52"/>
      <c r="B22" s="51" t="s">
        <v>463</v>
      </c>
      <c r="C22" s="54">
        <v>0</v>
      </c>
      <c r="D22" s="54"/>
      <c r="E22" s="54">
        <f t="shared" si="5"/>
        <v>0</v>
      </c>
      <c r="F22" s="54"/>
      <c r="G22" s="53">
        <f t="shared" si="2"/>
        <v>0</v>
      </c>
      <c r="H22" s="170"/>
      <c r="I22" s="69">
        <f t="shared" si="3"/>
        <v>0</v>
      </c>
      <c r="J22" s="53">
        <f>C22*104.6%</f>
        <v>0</v>
      </c>
      <c r="K22" s="53">
        <f t="shared" ref="K22" si="12">J22*104.6%</f>
        <v>0</v>
      </c>
      <c r="L22" s="200"/>
      <c r="M22" s="200"/>
      <c r="N22" s="53">
        <f t="shared" si="7"/>
        <v>0</v>
      </c>
    </row>
    <row r="23" spans="1:14" x14ac:dyDescent="0.3">
      <c r="A23" s="52" t="s">
        <v>880</v>
      </c>
      <c r="B23" s="52" t="s">
        <v>1349</v>
      </c>
      <c r="C23" s="54">
        <v>1200000</v>
      </c>
      <c r="D23" s="54"/>
      <c r="E23" s="54">
        <f t="shared" si="5"/>
        <v>1200000</v>
      </c>
      <c r="F23" s="54"/>
      <c r="G23" s="53">
        <f t="shared" si="2"/>
        <v>1200000</v>
      </c>
      <c r="H23" s="170">
        <v>-500000</v>
      </c>
      <c r="I23" s="69">
        <f t="shared" si="3"/>
        <v>700000</v>
      </c>
      <c r="J23" s="53">
        <f>C23*104.6%</f>
        <v>1255200</v>
      </c>
      <c r="K23" s="53">
        <f>J23*104.6%</f>
        <v>1312939.2</v>
      </c>
      <c r="L23" s="200">
        <v>950</v>
      </c>
      <c r="M23" s="200"/>
      <c r="N23" s="53">
        <f t="shared" si="7"/>
        <v>699050</v>
      </c>
    </row>
    <row r="24" spans="1:14" x14ac:dyDescent="0.3">
      <c r="A24" s="52" t="s">
        <v>879</v>
      </c>
      <c r="B24" s="52" t="s">
        <v>464</v>
      </c>
      <c r="C24" s="54">
        <v>150000</v>
      </c>
      <c r="D24" s="54"/>
      <c r="E24" s="54">
        <f t="shared" si="5"/>
        <v>150000</v>
      </c>
      <c r="F24" s="54"/>
      <c r="G24" s="53">
        <f t="shared" si="2"/>
        <v>150000</v>
      </c>
      <c r="H24" s="170"/>
      <c r="I24" s="69">
        <f t="shared" si="3"/>
        <v>150000</v>
      </c>
      <c r="J24" s="53">
        <f>C24*104.6%</f>
        <v>156900</v>
      </c>
      <c r="K24" s="53">
        <f t="shared" ref="K24" si="13">J24*104.6%</f>
        <v>164117.4</v>
      </c>
      <c r="L24" s="200">
        <v>74835</v>
      </c>
      <c r="M24" s="200">
        <v>74835</v>
      </c>
      <c r="N24" s="53">
        <f t="shared" si="7"/>
        <v>330</v>
      </c>
    </row>
    <row r="25" spans="1:14" ht="14.5" thickBot="1" x14ac:dyDescent="0.35">
      <c r="A25" s="56" t="s">
        <v>881</v>
      </c>
      <c r="B25" s="56" t="s">
        <v>465</v>
      </c>
      <c r="C25" s="68">
        <v>100000</v>
      </c>
      <c r="D25" s="68"/>
      <c r="E25" s="54">
        <f t="shared" si="5"/>
        <v>100000</v>
      </c>
      <c r="F25" s="68"/>
      <c r="G25" s="53">
        <f t="shared" si="2"/>
        <v>100000</v>
      </c>
      <c r="H25" s="173"/>
      <c r="I25" s="69">
        <f t="shared" si="3"/>
        <v>100000</v>
      </c>
      <c r="J25" s="69">
        <f>C25*104.6%</f>
        <v>104600</v>
      </c>
      <c r="K25" s="69">
        <f t="shared" ref="K25" si="14">J25*104.6%</f>
        <v>109411.6</v>
      </c>
      <c r="L25" s="200">
        <v>0</v>
      </c>
      <c r="M25" s="200"/>
      <c r="N25" s="53">
        <f t="shared" si="7"/>
        <v>100000</v>
      </c>
    </row>
    <row r="26" spans="1:14" ht="14.5" thickBot="1" x14ac:dyDescent="0.35">
      <c r="A26" s="57" t="s">
        <v>678</v>
      </c>
      <c r="B26" s="57"/>
      <c r="C26" s="92">
        <f t="shared" ref="C26:N26" si="15">SUM(C14:C25)</f>
        <v>4605000</v>
      </c>
      <c r="D26" s="92">
        <f t="shared" si="15"/>
        <v>0</v>
      </c>
      <c r="E26" s="92">
        <f t="shared" si="15"/>
        <v>4605000</v>
      </c>
      <c r="F26" s="92">
        <f t="shared" si="15"/>
        <v>0</v>
      </c>
      <c r="G26" s="92">
        <f t="shared" si="15"/>
        <v>4605000</v>
      </c>
      <c r="H26" s="181">
        <f t="shared" si="15"/>
        <v>-2354696.2000000002</v>
      </c>
      <c r="I26" s="92">
        <f t="shared" si="15"/>
        <v>2250303.7999999998</v>
      </c>
      <c r="J26" s="92">
        <f t="shared" si="15"/>
        <v>5316830</v>
      </c>
      <c r="K26" s="92">
        <f t="shared" si="15"/>
        <v>5038404.18</v>
      </c>
      <c r="L26" s="92">
        <f t="shared" si="15"/>
        <v>1339795.8</v>
      </c>
      <c r="M26" s="92">
        <f t="shared" si="15"/>
        <v>111128</v>
      </c>
      <c r="N26" s="92">
        <f t="shared" si="15"/>
        <v>799380</v>
      </c>
    </row>
    <row r="27" spans="1:14" ht="14.5" thickTop="1" x14ac:dyDescent="0.3">
      <c r="A27" s="60"/>
      <c r="B27" s="61"/>
      <c r="C27" s="54"/>
      <c r="D27" s="54"/>
      <c r="E27" s="54">
        <f t="shared" si="5"/>
        <v>0</v>
      </c>
      <c r="F27" s="54"/>
      <c r="G27" s="54"/>
      <c r="H27" s="180"/>
      <c r="I27" s="54"/>
      <c r="J27" s="62">
        <f t="shared" ref="J27:J39" si="16">C27*104.6%</f>
        <v>0</v>
      </c>
      <c r="K27" s="62">
        <f t="shared" ref="K27" si="17">J27*104.6%</f>
        <v>0</v>
      </c>
      <c r="L27" s="200"/>
      <c r="M27" s="200"/>
      <c r="N27" s="200"/>
    </row>
    <row r="28" spans="1:14" x14ac:dyDescent="0.3">
      <c r="A28" s="51" t="s">
        <v>79</v>
      </c>
      <c r="B28" s="52"/>
      <c r="C28" s="54">
        <v>0</v>
      </c>
      <c r="D28" s="54"/>
      <c r="E28" s="54">
        <f t="shared" si="5"/>
        <v>0</v>
      </c>
      <c r="F28" s="54"/>
      <c r="G28" s="54"/>
      <c r="H28" s="180"/>
      <c r="I28" s="69">
        <f t="shared" ref="I28:I39" si="18">G28+H28</f>
        <v>0</v>
      </c>
      <c r="J28" s="53">
        <f t="shared" si="16"/>
        <v>0</v>
      </c>
      <c r="K28" s="53">
        <f t="shared" ref="K28:K39" si="19">J28*104.6%</f>
        <v>0</v>
      </c>
      <c r="L28" s="200"/>
      <c r="M28" s="200"/>
      <c r="N28" s="200"/>
    </row>
    <row r="29" spans="1:14" x14ac:dyDescent="0.3">
      <c r="A29" s="52"/>
      <c r="B29" s="52" t="s">
        <v>57</v>
      </c>
      <c r="C29" s="54">
        <v>0</v>
      </c>
      <c r="D29" s="54"/>
      <c r="E29" s="54">
        <f t="shared" si="5"/>
        <v>0</v>
      </c>
      <c r="F29" s="54"/>
      <c r="G29" s="53">
        <f t="shared" ref="G29:G39" si="20">E29+F29</f>
        <v>0</v>
      </c>
      <c r="H29" s="170"/>
      <c r="I29" s="69">
        <f t="shared" si="18"/>
        <v>0</v>
      </c>
      <c r="J29" s="53">
        <f t="shared" si="16"/>
        <v>0</v>
      </c>
      <c r="K29" s="53">
        <f t="shared" si="19"/>
        <v>0</v>
      </c>
      <c r="L29" s="200"/>
      <c r="M29" s="200"/>
      <c r="N29" s="53">
        <f t="shared" ref="N29:N39" si="21">I29-L29-M29</f>
        <v>0</v>
      </c>
    </row>
    <row r="30" spans="1:14" x14ac:dyDescent="0.3">
      <c r="A30" s="52"/>
      <c r="B30" s="52" t="s">
        <v>58</v>
      </c>
      <c r="C30" s="54">
        <v>0</v>
      </c>
      <c r="D30" s="54"/>
      <c r="E30" s="54">
        <f t="shared" si="5"/>
        <v>0</v>
      </c>
      <c r="F30" s="54"/>
      <c r="G30" s="53">
        <f t="shared" si="20"/>
        <v>0</v>
      </c>
      <c r="H30" s="170"/>
      <c r="I30" s="69">
        <f t="shared" si="18"/>
        <v>0</v>
      </c>
      <c r="J30" s="53">
        <f t="shared" si="16"/>
        <v>0</v>
      </c>
      <c r="K30" s="53">
        <f t="shared" si="19"/>
        <v>0</v>
      </c>
      <c r="L30" s="200"/>
      <c r="M30" s="200"/>
      <c r="N30" s="53">
        <f t="shared" si="21"/>
        <v>0</v>
      </c>
    </row>
    <row r="31" spans="1:14" x14ac:dyDescent="0.3">
      <c r="A31" s="52"/>
      <c r="B31" s="52" t="s">
        <v>59</v>
      </c>
      <c r="C31" s="54">
        <v>0</v>
      </c>
      <c r="D31" s="54"/>
      <c r="E31" s="54">
        <f t="shared" si="5"/>
        <v>0</v>
      </c>
      <c r="F31" s="54"/>
      <c r="G31" s="53">
        <f t="shared" si="20"/>
        <v>0</v>
      </c>
      <c r="H31" s="170"/>
      <c r="I31" s="69">
        <f t="shared" si="18"/>
        <v>0</v>
      </c>
      <c r="J31" s="53">
        <f t="shared" si="16"/>
        <v>0</v>
      </c>
      <c r="K31" s="53">
        <f t="shared" si="19"/>
        <v>0</v>
      </c>
      <c r="L31" s="200"/>
      <c r="M31" s="200"/>
      <c r="N31" s="53">
        <f t="shared" si="21"/>
        <v>0</v>
      </c>
    </row>
    <row r="32" spans="1:14" x14ac:dyDescent="0.3">
      <c r="A32" s="52"/>
      <c r="B32" s="52" t="s">
        <v>60</v>
      </c>
      <c r="C32" s="54">
        <v>0</v>
      </c>
      <c r="D32" s="54"/>
      <c r="E32" s="54">
        <f t="shared" si="5"/>
        <v>0</v>
      </c>
      <c r="F32" s="54"/>
      <c r="G32" s="53">
        <f t="shared" si="20"/>
        <v>0</v>
      </c>
      <c r="H32" s="170"/>
      <c r="I32" s="69">
        <f t="shared" si="18"/>
        <v>0</v>
      </c>
      <c r="J32" s="53">
        <f t="shared" si="16"/>
        <v>0</v>
      </c>
      <c r="K32" s="53">
        <f t="shared" si="19"/>
        <v>0</v>
      </c>
      <c r="L32" s="200"/>
      <c r="M32" s="200"/>
      <c r="N32" s="53">
        <f t="shared" si="21"/>
        <v>0</v>
      </c>
    </row>
    <row r="33" spans="1:14" x14ac:dyDescent="0.3">
      <c r="A33" s="52"/>
      <c r="B33" s="52" t="s">
        <v>123</v>
      </c>
      <c r="C33" s="54">
        <v>0</v>
      </c>
      <c r="D33" s="54"/>
      <c r="E33" s="54">
        <f t="shared" si="5"/>
        <v>0</v>
      </c>
      <c r="F33" s="54"/>
      <c r="G33" s="53">
        <f t="shared" si="20"/>
        <v>0</v>
      </c>
      <c r="H33" s="170"/>
      <c r="I33" s="69">
        <f t="shared" si="18"/>
        <v>0</v>
      </c>
      <c r="J33" s="53">
        <f t="shared" si="16"/>
        <v>0</v>
      </c>
      <c r="K33" s="53">
        <f t="shared" si="19"/>
        <v>0</v>
      </c>
      <c r="L33" s="200"/>
      <c r="M33" s="200"/>
      <c r="N33" s="53">
        <f t="shared" si="21"/>
        <v>0</v>
      </c>
    </row>
    <row r="34" spans="1:14" x14ac:dyDescent="0.3">
      <c r="A34" s="52"/>
      <c r="B34" s="52" t="s">
        <v>61</v>
      </c>
      <c r="C34" s="54">
        <v>0</v>
      </c>
      <c r="D34" s="54"/>
      <c r="E34" s="54">
        <f t="shared" si="5"/>
        <v>0</v>
      </c>
      <c r="F34" s="54"/>
      <c r="G34" s="53">
        <f t="shared" si="20"/>
        <v>0</v>
      </c>
      <c r="H34" s="170"/>
      <c r="I34" s="69">
        <f t="shared" si="18"/>
        <v>0</v>
      </c>
      <c r="J34" s="53">
        <f t="shared" si="16"/>
        <v>0</v>
      </c>
      <c r="K34" s="53">
        <f t="shared" si="19"/>
        <v>0</v>
      </c>
      <c r="L34" s="200"/>
      <c r="M34" s="200"/>
      <c r="N34" s="53">
        <f t="shared" si="21"/>
        <v>0</v>
      </c>
    </row>
    <row r="35" spans="1:14" x14ac:dyDescent="0.3">
      <c r="A35" s="52"/>
      <c r="B35" s="52" t="s">
        <v>593</v>
      </c>
      <c r="C35" s="54">
        <v>0</v>
      </c>
      <c r="D35" s="54"/>
      <c r="E35" s="54">
        <f t="shared" si="5"/>
        <v>0</v>
      </c>
      <c r="F35" s="54"/>
      <c r="G35" s="53">
        <f t="shared" si="20"/>
        <v>0</v>
      </c>
      <c r="H35" s="170"/>
      <c r="I35" s="69">
        <f t="shared" si="18"/>
        <v>0</v>
      </c>
      <c r="J35" s="53">
        <f t="shared" si="16"/>
        <v>0</v>
      </c>
      <c r="K35" s="53">
        <f t="shared" si="19"/>
        <v>0</v>
      </c>
      <c r="L35" s="200"/>
      <c r="M35" s="200"/>
      <c r="N35" s="53">
        <f t="shared" si="21"/>
        <v>0</v>
      </c>
    </row>
    <row r="36" spans="1:14" x14ac:dyDescent="0.3">
      <c r="A36" s="52"/>
      <c r="B36" s="52" t="s">
        <v>126</v>
      </c>
      <c r="C36" s="54">
        <v>0</v>
      </c>
      <c r="D36" s="54"/>
      <c r="E36" s="54">
        <f t="shared" si="5"/>
        <v>0</v>
      </c>
      <c r="F36" s="54"/>
      <c r="G36" s="53">
        <f t="shared" si="20"/>
        <v>0</v>
      </c>
      <c r="H36" s="170"/>
      <c r="I36" s="69">
        <f t="shared" si="18"/>
        <v>0</v>
      </c>
      <c r="J36" s="53">
        <f t="shared" si="16"/>
        <v>0</v>
      </c>
      <c r="K36" s="53">
        <f t="shared" si="19"/>
        <v>0</v>
      </c>
      <c r="L36" s="200"/>
      <c r="M36" s="200"/>
      <c r="N36" s="53">
        <f t="shared" si="21"/>
        <v>0</v>
      </c>
    </row>
    <row r="37" spans="1:14" x14ac:dyDescent="0.3">
      <c r="A37" s="52"/>
      <c r="B37" s="52" t="s">
        <v>62</v>
      </c>
      <c r="C37" s="54">
        <v>0</v>
      </c>
      <c r="D37" s="54"/>
      <c r="E37" s="54">
        <f t="shared" si="5"/>
        <v>0</v>
      </c>
      <c r="F37" s="54"/>
      <c r="G37" s="53">
        <f t="shared" si="20"/>
        <v>0</v>
      </c>
      <c r="H37" s="170"/>
      <c r="I37" s="69">
        <f t="shared" si="18"/>
        <v>0</v>
      </c>
      <c r="J37" s="53">
        <f t="shared" si="16"/>
        <v>0</v>
      </c>
      <c r="K37" s="53">
        <f t="shared" si="19"/>
        <v>0</v>
      </c>
      <c r="L37" s="200"/>
      <c r="M37" s="200"/>
      <c r="N37" s="53">
        <f t="shared" si="21"/>
        <v>0</v>
      </c>
    </row>
    <row r="38" spans="1:14" x14ac:dyDescent="0.3">
      <c r="A38" s="52"/>
      <c r="B38" s="52" t="s">
        <v>63</v>
      </c>
      <c r="C38" s="54">
        <v>0</v>
      </c>
      <c r="D38" s="54"/>
      <c r="E38" s="54">
        <f t="shared" si="5"/>
        <v>0</v>
      </c>
      <c r="F38" s="54"/>
      <c r="G38" s="53">
        <f t="shared" si="20"/>
        <v>0</v>
      </c>
      <c r="H38" s="170"/>
      <c r="I38" s="69">
        <f t="shared" si="18"/>
        <v>0</v>
      </c>
      <c r="J38" s="53">
        <f t="shared" si="16"/>
        <v>0</v>
      </c>
      <c r="K38" s="53">
        <f t="shared" si="19"/>
        <v>0</v>
      </c>
      <c r="L38" s="200"/>
      <c r="M38" s="200"/>
      <c r="N38" s="53">
        <f t="shared" si="21"/>
        <v>0</v>
      </c>
    </row>
    <row r="39" spans="1:14" ht="14.5" thickBot="1" x14ac:dyDescent="0.35">
      <c r="A39" s="56"/>
      <c r="B39" s="56" t="s">
        <v>64</v>
      </c>
      <c r="C39" s="68">
        <v>0</v>
      </c>
      <c r="D39" s="68"/>
      <c r="E39" s="54">
        <f t="shared" si="5"/>
        <v>0</v>
      </c>
      <c r="F39" s="54"/>
      <c r="G39" s="53">
        <f t="shared" si="20"/>
        <v>0</v>
      </c>
      <c r="H39" s="170"/>
      <c r="I39" s="69">
        <f t="shared" si="18"/>
        <v>0</v>
      </c>
      <c r="J39" s="53">
        <f t="shared" si="16"/>
        <v>0</v>
      </c>
      <c r="K39" s="53">
        <f t="shared" si="19"/>
        <v>0</v>
      </c>
      <c r="L39" s="200"/>
      <c r="M39" s="200"/>
      <c r="N39" s="53">
        <f t="shared" si="21"/>
        <v>0</v>
      </c>
    </row>
    <row r="40" spans="1:14" ht="14.5" thickBot="1" x14ac:dyDescent="0.35">
      <c r="A40" s="57" t="s">
        <v>259</v>
      </c>
      <c r="B40" s="58"/>
      <c r="C40" s="58"/>
      <c r="D40" s="58"/>
      <c r="E40" s="187">
        <f>SUM(E29:E39)</f>
        <v>0</v>
      </c>
      <c r="F40" s="187">
        <f t="shared" ref="F40:N40" si="22">SUM(F29:F39)</f>
        <v>0</v>
      </c>
      <c r="G40" s="187">
        <f t="shared" si="22"/>
        <v>0</v>
      </c>
      <c r="H40" s="189">
        <f t="shared" si="22"/>
        <v>0</v>
      </c>
      <c r="I40" s="187">
        <f t="shared" si="22"/>
        <v>0</v>
      </c>
      <c r="J40" s="187">
        <f t="shared" si="22"/>
        <v>0</v>
      </c>
      <c r="K40" s="187">
        <f t="shared" si="22"/>
        <v>0</v>
      </c>
      <c r="L40" s="95">
        <f t="shared" si="22"/>
        <v>0</v>
      </c>
      <c r="M40" s="95">
        <f t="shared" si="22"/>
        <v>0</v>
      </c>
      <c r="N40" s="95">
        <f t="shared" si="22"/>
        <v>0</v>
      </c>
    </row>
    <row r="41" spans="1:14" ht="15" thickTop="1" thickBot="1" x14ac:dyDescent="0.35">
      <c r="A41" s="74"/>
      <c r="B41" s="73"/>
      <c r="C41" s="68"/>
      <c r="D41" s="68"/>
      <c r="E41" s="54">
        <f t="shared" si="5"/>
        <v>0</v>
      </c>
      <c r="F41" s="68"/>
      <c r="G41" s="68"/>
      <c r="H41" s="183"/>
      <c r="I41" s="68"/>
      <c r="J41" s="68"/>
      <c r="K41" s="68"/>
      <c r="L41" s="200"/>
      <c r="M41" s="200"/>
      <c r="N41" s="200"/>
    </row>
    <row r="42" spans="1:14" ht="14.5" thickBot="1" x14ac:dyDescent="0.35">
      <c r="A42" s="70" t="s">
        <v>697</v>
      </c>
      <c r="B42" s="70"/>
      <c r="C42" s="71">
        <f>C40+C26</f>
        <v>4605000</v>
      </c>
      <c r="D42" s="71">
        <f t="shared" ref="D42:N42" si="23">D40+D26</f>
        <v>0</v>
      </c>
      <c r="E42" s="71">
        <f t="shared" si="23"/>
        <v>4605000</v>
      </c>
      <c r="F42" s="71">
        <f t="shared" si="23"/>
        <v>0</v>
      </c>
      <c r="G42" s="71">
        <f t="shared" si="23"/>
        <v>4605000</v>
      </c>
      <c r="H42" s="184">
        <f t="shared" si="23"/>
        <v>-2354696.2000000002</v>
      </c>
      <c r="I42" s="71">
        <f t="shared" si="23"/>
        <v>2250303.7999999998</v>
      </c>
      <c r="J42" s="71">
        <f t="shared" si="23"/>
        <v>5316830</v>
      </c>
      <c r="K42" s="71">
        <f t="shared" si="23"/>
        <v>5038404.18</v>
      </c>
      <c r="L42" s="71">
        <f t="shared" si="23"/>
        <v>1339795.8</v>
      </c>
      <c r="M42" s="71">
        <f t="shared" si="23"/>
        <v>111128</v>
      </c>
      <c r="N42" s="71">
        <f t="shared" si="23"/>
        <v>799380</v>
      </c>
    </row>
    <row r="43" spans="1:14" ht="14.5" thickTop="1" x14ac:dyDescent="0.3">
      <c r="A43" s="104"/>
      <c r="B43" s="105"/>
      <c r="C43" s="54">
        <v>0</v>
      </c>
      <c r="D43" s="54"/>
      <c r="E43" s="54">
        <f t="shared" si="5"/>
        <v>0</v>
      </c>
      <c r="F43" s="54"/>
      <c r="G43" s="54"/>
      <c r="H43" s="180"/>
      <c r="I43" s="54"/>
      <c r="J43" s="62">
        <f>C43*104.6%</f>
        <v>0</v>
      </c>
      <c r="K43" s="62">
        <f t="shared" ref="K43" si="24">J43*104.6%</f>
        <v>0</v>
      </c>
      <c r="L43" s="200"/>
      <c r="M43" s="200"/>
      <c r="N43" s="200"/>
    </row>
    <row r="44" spans="1:14" x14ac:dyDescent="0.3">
      <c r="A44" s="247" t="s">
        <v>886</v>
      </c>
      <c r="B44" s="248"/>
      <c r="C44" s="54"/>
      <c r="D44" s="54"/>
      <c r="E44" s="54">
        <f t="shared" si="5"/>
        <v>0</v>
      </c>
      <c r="F44" s="54"/>
      <c r="G44" s="54"/>
      <c r="H44" s="180"/>
      <c r="I44" s="54"/>
      <c r="J44" s="62"/>
      <c r="K44" s="62"/>
      <c r="L44" s="200"/>
      <c r="M44" s="200"/>
      <c r="N44" s="200"/>
    </row>
    <row r="45" spans="1:14" x14ac:dyDescent="0.3">
      <c r="A45" s="52"/>
      <c r="B45" s="51"/>
      <c r="C45" s="54"/>
      <c r="D45" s="54"/>
      <c r="E45" s="54">
        <f t="shared" si="5"/>
        <v>0</v>
      </c>
      <c r="F45" s="54"/>
      <c r="G45" s="54"/>
      <c r="H45" s="180"/>
      <c r="I45" s="54"/>
      <c r="J45" s="62"/>
      <c r="K45" s="62"/>
      <c r="L45" s="200"/>
      <c r="M45" s="200"/>
      <c r="N45" s="200"/>
    </row>
    <row r="46" spans="1:14" x14ac:dyDescent="0.3">
      <c r="A46" s="51" t="s">
        <v>460</v>
      </c>
      <c r="B46" s="51"/>
      <c r="C46" s="54"/>
      <c r="D46" s="54"/>
      <c r="E46" s="54">
        <f t="shared" si="5"/>
        <v>0</v>
      </c>
      <c r="F46" s="54"/>
      <c r="G46" s="54"/>
      <c r="H46" s="180"/>
      <c r="I46" s="54"/>
      <c r="J46" s="62"/>
      <c r="K46" s="62"/>
      <c r="L46" s="200"/>
      <c r="M46" s="200"/>
      <c r="N46" s="200"/>
    </row>
    <row r="47" spans="1:14" x14ac:dyDescent="0.3">
      <c r="A47" s="55"/>
      <c r="B47" s="55" t="s">
        <v>737</v>
      </c>
      <c r="C47" s="54"/>
      <c r="D47" s="54"/>
      <c r="E47" s="54">
        <f t="shared" si="5"/>
        <v>0</v>
      </c>
      <c r="F47" s="54"/>
      <c r="G47" s="54"/>
      <c r="H47" s="180"/>
      <c r="I47" s="54"/>
      <c r="J47" s="62"/>
      <c r="K47" s="62"/>
      <c r="L47" s="200"/>
      <c r="M47" s="200"/>
      <c r="N47" s="200"/>
    </row>
    <row r="48" spans="1:14" x14ac:dyDescent="0.3">
      <c r="A48" s="56" t="s">
        <v>885</v>
      </c>
      <c r="B48" s="56" t="s">
        <v>882</v>
      </c>
      <c r="C48" s="54">
        <v>15000</v>
      </c>
      <c r="D48" s="54"/>
      <c r="E48" s="54">
        <f t="shared" si="5"/>
        <v>15000</v>
      </c>
      <c r="F48" s="54"/>
      <c r="G48" s="53">
        <f t="shared" ref="G48:G111" si="25">E48+F48</f>
        <v>15000</v>
      </c>
      <c r="H48" s="170">
        <v>-15000</v>
      </c>
      <c r="I48" s="69">
        <f t="shared" ref="I48:I79" si="26">G48+H48</f>
        <v>0</v>
      </c>
      <c r="J48" s="53">
        <f t="shared" ref="J48:J79" si="27">C48*104.6%</f>
        <v>15690</v>
      </c>
      <c r="K48" s="53">
        <f t="shared" ref="K48:K113" si="28">J48*104.6%</f>
        <v>16411.740000000002</v>
      </c>
      <c r="L48" s="200"/>
      <c r="M48" s="200"/>
      <c r="N48" s="53">
        <f t="shared" ref="N48:N111" si="29">I48-L48-M48</f>
        <v>0</v>
      </c>
    </row>
    <row r="49" spans="1:14" x14ac:dyDescent="0.3">
      <c r="A49" s="56" t="s">
        <v>887</v>
      </c>
      <c r="B49" s="56" t="s">
        <v>883</v>
      </c>
      <c r="C49" s="54">
        <v>30000</v>
      </c>
      <c r="D49" s="54"/>
      <c r="E49" s="54">
        <f t="shared" si="5"/>
        <v>30000</v>
      </c>
      <c r="F49" s="54"/>
      <c r="G49" s="53">
        <f t="shared" si="25"/>
        <v>30000</v>
      </c>
      <c r="H49" s="170">
        <v>-30000</v>
      </c>
      <c r="I49" s="69">
        <f t="shared" si="26"/>
        <v>0</v>
      </c>
      <c r="J49" s="53">
        <f t="shared" si="27"/>
        <v>31380</v>
      </c>
      <c r="K49" s="53">
        <f t="shared" si="28"/>
        <v>32823.480000000003</v>
      </c>
      <c r="L49" s="200"/>
      <c r="M49" s="200"/>
      <c r="N49" s="53">
        <f t="shared" si="29"/>
        <v>0</v>
      </c>
    </row>
    <row r="50" spans="1:14" x14ac:dyDescent="0.3">
      <c r="A50" s="56" t="s">
        <v>888</v>
      </c>
      <c r="B50" s="56" t="s">
        <v>884</v>
      </c>
      <c r="C50" s="54">
        <v>20000</v>
      </c>
      <c r="D50" s="54"/>
      <c r="E50" s="54">
        <f t="shared" si="5"/>
        <v>20000</v>
      </c>
      <c r="F50" s="54"/>
      <c r="G50" s="53">
        <f t="shared" si="25"/>
        <v>20000</v>
      </c>
      <c r="H50" s="170">
        <v>-20000</v>
      </c>
      <c r="I50" s="69">
        <f t="shared" si="26"/>
        <v>0</v>
      </c>
      <c r="J50" s="53">
        <f t="shared" si="27"/>
        <v>20920</v>
      </c>
      <c r="K50" s="53">
        <f t="shared" si="28"/>
        <v>21882.32</v>
      </c>
      <c r="L50" s="200"/>
      <c r="M50" s="200"/>
      <c r="N50" s="53">
        <f t="shared" si="29"/>
        <v>0</v>
      </c>
    </row>
    <row r="51" spans="1:14" x14ac:dyDescent="0.3">
      <c r="A51" s="56"/>
      <c r="B51" s="56"/>
      <c r="C51" s="54"/>
      <c r="D51" s="54"/>
      <c r="E51" s="54">
        <f t="shared" si="5"/>
        <v>0</v>
      </c>
      <c r="F51" s="54"/>
      <c r="G51" s="53">
        <f t="shared" si="25"/>
        <v>0</v>
      </c>
      <c r="H51" s="170">
        <v>0</v>
      </c>
      <c r="I51" s="69">
        <f t="shared" si="26"/>
        <v>0</v>
      </c>
      <c r="J51" s="53">
        <f t="shared" si="27"/>
        <v>0</v>
      </c>
      <c r="K51" s="53">
        <f t="shared" si="28"/>
        <v>0</v>
      </c>
      <c r="L51" s="200"/>
      <c r="M51" s="200"/>
      <c r="N51" s="53">
        <f t="shared" si="29"/>
        <v>0</v>
      </c>
    </row>
    <row r="52" spans="1:14" x14ac:dyDescent="0.3">
      <c r="A52" s="56"/>
      <c r="B52" s="55" t="s">
        <v>738</v>
      </c>
      <c r="C52" s="54"/>
      <c r="D52" s="54"/>
      <c r="E52" s="54">
        <f t="shared" si="5"/>
        <v>0</v>
      </c>
      <c r="F52" s="54"/>
      <c r="G52" s="53">
        <f t="shared" si="25"/>
        <v>0</v>
      </c>
      <c r="H52" s="170">
        <v>0</v>
      </c>
      <c r="I52" s="69">
        <f t="shared" si="26"/>
        <v>0</v>
      </c>
      <c r="J52" s="53">
        <f t="shared" si="27"/>
        <v>0</v>
      </c>
      <c r="K52" s="53">
        <f t="shared" si="28"/>
        <v>0</v>
      </c>
      <c r="L52" s="200"/>
      <c r="M52" s="200"/>
      <c r="N52" s="53">
        <f t="shared" si="29"/>
        <v>0</v>
      </c>
    </row>
    <row r="53" spans="1:14" x14ac:dyDescent="0.3">
      <c r="A53" s="56" t="s">
        <v>894</v>
      </c>
      <c r="B53" s="56" t="s">
        <v>889</v>
      </c>
      <c r="C53" s="54">
        <v>25000</v>
      </c>
      <c r="D53" s="54"/>
      <c r="E53" s="54">
        <f t="shared" si="5"/>
        <v>25000</v>
      </c>
      <c r="F53" s="54"/>
      <c r="G53" s="53">
        <f t="shared" si="25"/>
        <v>25000</v>
      </c>
      <c r="H53" s="170">
        <v>2000</v>
      </c>
      <c r="I53" s="69">
        <f t="shared" si="26"/>
        <v>27000</v>
      </c>
      <c r="J53" s="53">
        <f t="shared" si="27"/>
        <v>26150</v>
      </c>
      <c r="K53" s="53">
        <f t="shared" si="28"/>
        <v>27352.9</v>
      </c>
      <c r="L53" s="200">
        <v>27000</v>
      </c>
      <c r="M53" s="200"/>
      <c r="N53" s="53">
        <f t="shared" si="29"/>
        <v>0</v>
      </c>
    </row>
    <row r="54" spans="1:14" x14ac:dyDescent="0.3">
      <c r="A54" s="56" t="s">
        <v>1359</v>
      </c>
      <c r="B54" s="56" t="s">
        <v>890</v>
      </c>
      <c r="C54" s="54">
        <v>20000</v>
      </c>
      <c r="D54" s="54"/>
      <c r="E54" s="54">
        <f t="shared" si="5"/>
        <v>20000</v>
      </c>
      <c r="F54" s="54"/>
      <c r="G54" s="53">
        <f t="shared" si="25"/>
        <v>20000</v>
      </c>
      <c r="H54" s="170">
        <v>-15200</v>
      </c>
      <c r="I54" s="69">
        <f t="shared" si="26"/>
        <v>4800</v>
      </c>
      <c r="J54" s="53">
        <f t="shared" si="27"/>
        <v>20920</v>
      </c>
      <c r="K54" s="53">
        <f t="shared" si="28"/>
        <v>21882.32</v>
      </c>
      <c r="L54" s="200">
        <v>4800</v>
      </c>
      <c r="M54" s="200"/>
      <c r="N54" s="53">
        <f t="shared" si="29"/>
        <v>0</v>
      </c>
    </row>
    <row r="55" spans="1:14" x14ac:dyDescent="0.3">
      <c r="A55" s="56" t="s">
        <v>895</v>
      </c>
      <c r="B55" s="56" t="s">
        <v>891</v>
      </c>
      <c r="C55" s="54">
        <v>40000</v>
      </c>
      <c r="D55" s="54"/>
      <c r="E55" s="54">
        <f t="shared" si="5"/>
        <v>40000</v>
      </c>
      <c r="F55" s="54"/>
      <c r="G55" s="53">
        <f t="shared" si="25"/>
        <v>40000</v>
      </c>
      <c r="H55" s="170">
        <v>6000</v>
      </c>
      <c r="I55" s="69">
        <f t="shared" si="26"/>
        <v>46000</v>
      </c>
      <c r="J55" s="53">
        <f t="shared" si="27"/>
        <v>41840</v>
      </c>
      <c r="K55" s="53">
        <f t="shared" si="28"/>
        <v>43764.639999999999</v>
      </c>
      <c r="L55" s="200">
        <v>46000</v>
      </c>
      <c r="M55" s="200"/>
      <c r="N55" s="53">
        <f t="shared" si="29"/>
        <v>0</v>
      </c>
    </row>
    <row r="56" spans="1:14" x14ac:dyDescent="0.3">
      <c r="A56" s="56" t="s">
        <v>896</v>
      </c>
      <c r="B56" s="56" t="s">
        <v>892</v>
      </c>
      <c r="C56" s="54">
        <v>10000</v>
      </c>
      <c r="D56" s="54"/>
      <c r="E56" s="54">
        <f t="shared" si="5"/>
        <v>10000</v>
      </c>
      <c r="F56" s="54"/>
      <c r="G56" s="53">
        <f t="shared" si="25"/>
        <v>10000</v>
      </c>
      <c r="H56" s="170">
        <v>-500</v>
      </c>
      <c r="I56" s="69">
        <f t="shared" si="26"/>
        <v>9500</v>
      </c>
      <c r="J56" s="53">
        <f t="shared" si="27"/>
        <v>10460</v>
      </c>
      <c r="K56" s="53">
        <f t="shared" si="28"/>
        <v>10941.16</v>
      </c>
      <c r="L56" s="200">
        <v>9500</v>
      </c>
      <c r="M56" s="200"/>
      <c r="N56" s="53">
        <f t="shared" si="29"/>
        <v>0</v>
      </c>
    </row>
    <row r="57" spans="1:14" x14ac:dyDescent="0.3">
      <c r="A57" s="56" t="s">
        <v>897</v>
      </c>
      <c r="B57" s="56" t="s">
        <v>893</v>
      </c>
      <c r="C57" s="54">
        <v>5000</v>
      </c>
      <c r="D57" s="54"/>
      <c r="E57" s="54">
        <f t="shared" si="5"/>
        <v>5000</v>
      </c>
      <c r="F57" s="54"/>
      <c r="G57" s="53">
        <f t="shared" si="25"/>
        <v>5000</v>
      </c>
      <c r="H57" s="170">
        <v>-2000</v>
      </c>
      <c r="I57" s="69">
        <f t="shared" si="26"/>
        <v>3000</v>
      </c>
      <c r="J57" s="53">
        <f t="shared" si="27"/>
        <v>5230</v>
      </c>
      <c r="K57" s="53">
        <f t="shared" si="28"/>
        <v>5470.58</v>
      </c>
      <c r="L57" s="200"/>
      <c r="M57" s="200">
        <v>3000</v>
      </c>
      <c r="N57" s="53">
        <f t="shared" si="29"/>
        <v>0</v>
      </c>
    </row>
    <row r="58" spans="1:14" x14ac:dyDescent="0.3">
      <c r="A58" s="56"/>
      <c r="B58" s="56"/>
      <c r="C58" s="54"/>
      <c r="D58" s="54"/>
      <c r="E58" s="54">
        <f t="shared" si="5"/>
        <v>0</v>
      </c>
      <c r="F58" s="54"/>
      <c r="G58" s="53">
        <f t="shared" si="25"/>
        <v>0</v>
      </c>
      <c r="H58" s="170">
        <v>0</v>
      </c>
      <c r="I58" s="69">
        <f t="shared" si="26"/>
        <v>0</v>
      </c>
      <c r="J58" s="53">
        <f t="shared" si="27"/>
        <v>0</v>
      </c>
      <c r="K58" s="53">
        <f t="shared" si="28"/>
        <v>0</v>
      </c>
      <c r="L58" s="200"/>
      <c r="M58" s="200"/>
      <c r="N58" s="53">
        <f t="shared" si="29"/>
        <v>0</v>
      </c>
    </row>
    <row r="59" spans="1:14" x14ac:dyDescent="0.3">
      <c r="A59" s="56"/>
      <c r="B59" s="55" t="s">
        <v>739</v>
      </c>
      <c r="C59" s="54"/>
      <c r="D59" s="54"/>
      <c r="E59" s="54">
        <f t="shared" si="5"/>
        <v>0</v>
      </c>
      <c r="F59" s="54"/>
      <c r="G59" s="53">
        <f t="shared" si="25"/>
        <v>0</v>
      </c>
      <c r="H59" s="170">
        <v>0</v>
      </c>
      <c r="I59" s="69">
        <f t="shared" si="26"/>
        <v>0</v>
      </c>
      <c r="J59" s="53">
        <f t="shared" si="27"/>
        <v>0</v>
      </c>
      <c r="K59" s="53">
        <f t="shared" si="28"/>
        <v>0</v>
      </c>
      <c r="L59" s="200"/>
      <c r="M59" s="200"/>
      <c r="N59" s="53">
        <f t="shared" si="29"/>
        <v>0</v>
      </c>
    </row>
    <row r="60" spans="1:14" x14ac:dyDescent="0.3">
      <c r="A60" s="56" t="s">
        <v>1203</v>
      </c>
      <c r="B60" s="56" t="s">
        <v>898</v>
      </c>
      <c r="C60" s="54">
        <v>30000</v>
      </c>
      <c r="D60" s="54"/>
      <c r="E60" s="54">
        <f t="shared" si="5"/>
        <v>30000</v>
      </c>
      <c r="F60" s="54"/>
      <c r="G60" s="53">
        <f t="shared" si="25"/>
        <v>30000</v>
      </c>
      <c r="H60" s="170">
        <v>-30000</v>
      </c>
      <c r="I60" s="69">
        <f t="shared" si="26"/>
        <v>0</v>
      </c>
      <c r="J60" s="53">
        <f t="shared" si="27"/>
        <v>31380</v>
      </c>
      <c r="K60" s="53">
        <f t="shared" si="28"/>
        <v>32823.480000000003</v>
      </c>
      <c r="L60" s="200"/>
      <c r="M60" s="200"/>
      <c r="N60" s="53">
        <f t="shared" si="29"/>
        <v>0</v>
      </c>
    </row>
    <row r="61" spans="1:14" x14ac:dyDescent="0.3">
      <c r="A61" s="56" t="s">
        <v>900</v>
      </c>
      <c r="B61" s="56" t="s">
        <v>899</v>
      </c>
      <c r="C61" s="54">
        <v>30000</v>
      </c>
      <c r="D61" s="54"/>
      <c r="E61" s="54">
        <f t="shared" si="5"/>
        <v>30000</v>
      </c>
      <c r="F61" s="54"/>
      <c r="G61" s="53">
        <f t="shared" si="25"/>
        <v>30000</v>
      </c>
      <c r="H61" s="170">
        <v>-30000</v>
      </c>
      <c r="I61" s="69">
        <f t="shared" si="26"/>
        <v>0</v>
      </c>
      <c r="J61" s="53">
        <f t="shared" si="27"/>
        <v>31380</v>
      </c>
      <c r="K61" s="53">
        <f t="shared" si="28"/>
        <v>32823.480000000003</v>
      </c>
      <c r="L61" s="200"/>
      <c r="M61" s="200"/>
      <c r="N61" s="53">
        <f t="shared" si="29"/>
        <v>0</v>
      </c>
    </row>
    <row r="62" spans="1:14" x14ac:dyDescent="0.3">
      <c r="A62" s="56"/>
      <c r="B62" s="56"/>
      <c r="C62" s="54"/>
      <c r="D62" s="54"/>
      <c r="E62" s="54">
        <f t="shared" si="5"/>
        <v>0</v>
      </c>
      <c r="F62" s="54"/>
      <c r="G62" s="53">
        <f t="shared" si="25"/>
        <v>0</v>
      </c>
      <c r="H62" s="170">
        <v>0</v>
      </c>
      <c r="I62" s="69">
        <f t="shared" si="26"/>
        <v>0</v>
      </c>
      <c r="J62" s="53">
        <f t="shared" si="27"/>
        <v>0</v>
      </c>
      <c r="K62" s="53">
        <f t="shared" si="28"/>
        <v>0</v>
      </c>
      <c r="L62" s="200"/>
      <c r="M62" s="200"/>
      <c r="N62" s="53">
        <f t="shared" si="29"/>
        <v>0</v>
      </c>
    </row>
    <row r="63" spans="1:14" x14ac:dyDescent="0.3">
      <c r="A63" s="56"/>
      <c r="B63" s="55" t="s">
        <v>740</v>
      </c>
      <c r="C63" s="54"/>
      <c r="D63" s="54"/>
      <c r="E63" s="54">
        <f t="shared" si="5"/>
        <v>0</v>
      </c>
      <c r="F63" s="54"/>
      <c r="G63" s="53">
        <f t="shared" si="25"/>
        <v>0</v>
      </c>
      <c r="H63" s="170">
        <v>0</v>
      </c>
      <c r="I63" s="69">
        <f t="shared" si="26"/>
        <v>0</v>
      </c>
      <c r="J63" s="53">
        <f t="shared" si="27"/>
        <v>0</v>
      </c>
      <c r="K63" s="53">
        <f t="shared" si="28"/>
        <v>0</v>
      </c>
      <c r="L63" s="200"/>
      <c r="M63" s="200"/>
      <c r="N63" s="53">
        <f t="shared" si="29"/>
        <v>0</v>
      </c>
    </row>
    <row r="64" spans="1:14" x14ac:dyDescent="0.3">
      <c r="A64" s="56" t="s">
        <v>901</v>
      </c>
      <c r="B64" s="56" t="s">
        <v>741</v>
      </c>
      <c r="C64" s="54">
        <v>15000</v>
      </c>
      <c r="D64" s="54"/>
      <c r="E64" s="54">
        <f t="shared" si="5"/>
        <v>15000</v>
      </c>
      <c r="F64" s="54"/>
      <c r="G64" s="53">
        <f t="shared" si="25"/>
        <v>15000</v>
      </c>
      <c r="H64" s="170">
        <v>-15000</v>
      </c>
      <c r="I64" s="69">
        <f t="shared" si="26"/>
        <v>0</v>
      </c>
      <c r="J64" s="53">
        <f t="shared" si="27"/>
        <v>15690</v>
      </c>
      <c r="K64" s="53">
        <f t="shared" si="28"/>
        <v>16411.740000000002</v>
      </c>
      <c r="L64" s="200"/>
      <c r="M64" s="200"/>
      <c r="N64" s="53">
        <f t="shared" si="29"/>
        <v>0</v>
      </c>
    </row>
    <row r="65" spans="1:14" x14ac:dyDescent="0.3">
      <c r="A65" s="56" t="s">
        <v>903</v>
      </c>
      <c r="B65" s="56" t="s">
        <v>902</v>
      </c>
      <c r="C65" s="54">
        <v>50000</v>
      </c>
      <c r="D65" s="54"/>
      <c r="E65" s="54">
        <f t="shared" si="5"/>
        <v>50000</v>
      </c>
      <c r="F65" s="54"/>
      <c r="G65" s="53">
        <f t="shared" si="25"/>
        <v>50000</v>
      </c>
      <c r="H65" s="170">
        <v>-50000</v>
      </c>
      <c r="I65" s="69">
        <f t="shared" si="26"/>
        <v>0</v>
      </c>
      <c r="J65" s="53">
        <f t="shared" si="27"/>
        <v>52300</v>
      </c>
      <c r="K65" s="53">
        <f t="shared" si="28"/>
        <v>54705.8</v>
      </c>
      <c r="L65" s="200"/>
      <c r="M65" s="200"/>
      <c r="N65" s="53">
        <f t="shared" si="29"/>
        <v>0</v>
      </c>
    </row>
    <row r="66" spans="1:14" x14ac:dyDescent="0.3">
      <c r="A66" s="56"/>
      <c r="B66" s="56"/>
      <c r="C66" s="54"/>
      <c r="D66" s="54"/>
      <c r="E66" s="54">
        <f t="shared" si="5"/>
        <v>0</v>
      </c>
      <c r="F66" s="54"/>
      <c r="G66" s="53">
        <f t="shared" si="25"/>
        <v>0</v>
      </c>
      <c r="H66" s="170">
        <v>0</v>
      </c>
      <c r="I66" s="69">
        <f t="shared" si="26"/>
        <v>0</v>
      </c>
      <c r="J66" s="53">
        <f t="shared" si="27"/>
        <v>0</v>
      </c>
      <c r="K66" s="53">
        <f t="shared" si="28"/>
        <v>0</v>
      </c>
      <c r="L66" s="200"/>
      <c r="M66" s="200"/>
      <c r="N66" s="53">
        <f t="shared" si="29"/>
        <v>0</v>
      </c>
    </row>
    <row r="67" spans="1:14" x14ac:dyDescent="0.3">
      <c r="A67" s="56"/>
      <c r="B67" s="55" t="s">
        <v>742</v>
      </c>
      <c r="C67" s="54"/>
      <c r="D67" s="54"/>
      <c r="E67" s="54">
        <f t="shared" si="5"/>
        <v>0</v>
      </c>
      <c r="F67" s="54"/>
      <c r="G67" s="53">
        <f t="shared" si="25"/>
        <v>0</v>
      </c>
      <c r="H67" s="170">
        <v>0</v>
      </c>
      <c r="I67" s="69">
        <f t="shared" si="26"/>
        <v>0</v>
      </c>
      <c r="J67" s="53">
        <f t="shared" si="27"/>
        <v>0</v>
      </c>
      <c r="K67" s="53">
        <f t="shared" si="28"/>
        <v>0</v>
      </c>
      <c r="L67" s="200"/>
      <c r="M67" s="200"/>
      <c r="N67" s="53">
        <f t="shared" si="29"/>
        <v>0</v>
      </c>
    </row>
    <row r="68" spans="1:14" x14ac:dyDescent="0.3">
      <c r="A68" s="56" t="s">
        <v>905</v>
      </c>
      <c r="B68" s="56" t="s">
        <v>906</v>
      </c>
      <c r="C68" s="54">
        <v>80000</v>
      </c>
      <c r="D68" s="54"/>
      <c r="E68" s="54">
        <f t="shared" si="5"/>
        <v>80000</v>
      </c>
      <c r="F68" s="54"/>
      <c r="G68" s="53">
        <f t="shared" si="25"/>
        <v>80000</v>
      </c>
      <c r="H68" s="170">
        <v>-80000</v>
      </c>
      <c r="I68" s="69">
        <f t="shared" si="26"/>
        <v>0</v>
      </c>
      <c r="J68" s="53">
        <f t="shared" si="27"/>
        <v>83680</v>
      </c>
      <c r="K68" s="53">
        <f t="shared" si="28"/>
        <v>87529.279999999999</v>
      </c>
      <c r="L68" s="200"/>
      <c r="M68" s="200"/>
      <c r="N68" s="53">
        <f t="shared" si="29"/>
        <v>0</v>
      </c>
    </row>
    <row r="69" spans="1:14" x14ac:dyDescent="0.3">
      <c r="A69" s="56" t="s">
        <v>907</v>
      </c>
      <c r="B69" s="56" t="s">
        <v>904</v>
      </c>
      <c r="C69" s="54">
        <v>50000</v>
      </c>
      <c r="D69" s="54"/>
      <c r="E69" s="54">
        <f t="shared" si="5"/>
        <v>50000</v>
      </c>
      <c r="F69" s="54"/>
      <c r="G69" s="53">
        <f t="shared" si="25"/>
        <v>50000</v>
      </c>
      <c r="H69" s="170">
        <v>-50000</v>
      </c>
      <c r="I69" s="69">
        <f t="shared" si="26"/>
        <v>0</v>
      </c>
      <c r="J69" s="53">
        <f t="shared" si="27"/>
        <v>52300</v>
      </c>
      <c r="K69" s="53">
        <f t="shared" si="28"/>
        <v>54705.8</v>
      </c>
      <c r="L69" s="200"/>
      <c r="M69" s="200"/>
      <c r="N69" s="53">
        <f t="shared" si="29"/>
        <v>0</v>
      </c>
    </row>
    <row r="70" spans="1:14" x14ac:dyDescent="0.3">
      <c r="A70" s="56" t="s">
        <v>908</v>
      </c>
      <c r="B70" s="56" t="s">
        <v>909</v>
      </c>
      <c r="C70" s="54">
        <v>15000</v>
      </c>
      <c r="D70" s="54"/>
      <c r="E70" s="54">
        <f t="shared" si="5"/>
        <v>15000</v>
      </c>
      <c r="F70" s="54"/>
      <c r="G70" s="53">
        <f t="shared" si="25"/>
        <v>15000</v>
      </c>
      <c r="H70" s="170">
        <v>-15000</v>
      </c>
      <c r="I70" s="69">
        <f t="shared" si="26"/>
        <v>0</v>
      </c>
      <c r="J70" s="53">
        <f t="shared" si="27"/>
        <v>15690</v>
      </c>
      <c r="K70" s="53">
        <f t="shared" si="28"/>
        <v>16411.740000000002</v>
      </c>
      <c r="L70" s="200"/>
      <c r="M70" s="200"/>
      <c r="N70" s="53">
        <f t="shared" si="29"/>
        <v>0</v>
      </c>
    </row>
    <row r="71" spans="1:14" x14ac:dyDescent="0.3">
      <c r="A71" s="56"/>
      <c r="B71" s="56"/>
      <c r="C71" s="54"/>
      <c r="D71" s="54"/>
      <c r="E71" s="54">
        <f t="shared" si="5"/>
        <v>0</v>
      </c>
      <c r="F71" s="54"/>
      <c r="G71" s="53">
        <f t="shared" si="25"/>
        <v>0</v>
      </c>
      <c r="H71" s="170">
        <v>0</v>
      </c>
      <c r="I71" s="69">
        <f t="shared" si="26"/>
        <v>0</v>
      </c>
      <c r="J71" s="53">
        <f t="shared" si="27"/>
        <v>0</v>
      </c>
      <c r="K71" s="53">
        <f t="shared" si="28"/>
        <v>0</v>
      </c>
      <c r="L71" s="200"/>
      <c r="M71" s="200"/>
      <c r="N71" s="53">
        <f t="shared" si="29"/>
        <v>0</v>
      </c>
    </row>
    <row r="72" spans="1:14" x14ac:dyDescent="0.3">
      <c r="A72" s="56"/>
      <c r="B72" s="55" t="s">
        <v>743</v>
      </c>
      <c r="C72" s="54"/>
      <c r="D72" s="54"/>
      <c r="E72" s="54">
        <f t="shared" si="5"/>
        <v>0</v>
      </c>
      <c r="F72" s="54"/>
      <c r="G72" s="53">
        <f t="shared" si="25"/>
        <v>0</v>
      </c>
      <c r="H72" s="170">
        <v>0</v>
      </c>
      <c r="I72" s="69">
        <f t="shared" si="26"/>
        <v>0</v>
      </c>
      <c r="J72" s="53">
        <f t="shared" si="27"/>
        <v>0</v>
      </c>
      <c r="K72" s="53">
        <f t="shared" si="28"/>
        <v>0</v>
      </c>
      <c r="L72" s="200"/>
      <c r="M72" s="200"/>
      <c r="N72" s="53">
        <f t="shared" si="29"/>
        <v>0</v>
      </c>
    </row>
    <row r="73" spans="1:14" x14ac:dyDescent="0.3">
      <c r="A73" s="56" t="s">
        <v>912</v>
      </c>
      <c r="B73" s="56" t="s">
        <v>910</v>
      </c>
      <c r="C73" s="54">
        <v>30000</v>
      </c>
      <c r="D73" s="54"/>
      <c r="E73" s="54">
        <f t="shared" si="5"/>
        <v>30000</v>
      </c>
      <c r="F73" s="54"/>
      <c r="G73" s="53">
        <f t="shared" si="25"/>
        <v>30000</v>
      </c>
      <c r="H73" s="170">
        <v>-30000</v>
      </c>
      <c r="I73" s="69">
        <f t="shared" si="26"/>
        <v>0</v>
      </c>
      <c r="J73" s="53">
        <f t="shared" si="27"/>
        <v>31380</v>
      </c>
      <c r="K73" s="53">
        <f t="shared" si="28"/>
        <v>32823.480000000003</v>
      </c>
      <c r="L73" s="200"/>
      <c r="M73" s="200"/>
      <c r="N73" s="53">
        <f t="shared" si="29"/>
        <v>0</v>
      </c>
    </row>
    <row r="74" spans="1:14" x14ac:dyDescent="0.3">
      <c r="A74" s="56" t="s">
        <v>913</v>
      </c>
      <c r="B74" s="56" t="s">
        <v>911</v>
      </c>
      <c r="C74" s="54">
        <v>30000</v>
      </c>
      <c r="D74" s="54"/>
      <c r="E74" s="54">
        <f t="shared" si="5"/>
        <v>30000</v>
      </c>
      <c r="F74" s="54"/>
      <c r="G74" s="53">
        <f t="shared" si="25"/>
        <v>30000</v>
      </c>
      <c r="H74" s="170">
        <v>-30000</v>
      </c>
      <c r="I74" s="69">
        <f t="shared" si="26"/>
        <v>0</v>
      </c>
      <c r="J74" s="53">
        <f t="shared" si="27"/>
        <v>31380</v>
      </c>
      <c r="K74" s="53">
        <f t="shared" si="28"/>
        <v>32823.480000000003</v>
      </c>
      <c r="L74" s="200"/>
      <c r="M74" s="200"/>
      <c r="N74" s="53">
        <f t="shared" si="29"/>
        <v>0</v>
      </c>
    </row>
    <row r="75" spans="1:14" x14ac:dyDescent="0.3">
      <c r="A75" s="56"/>
      <c r="B75" s="56"/>
      <c r="C75" s="54"/>
      <c r="D75" s="54"/>
      <c r="E75" s="54">
        <f t="shared" si="5"/>
        <v>0</v>
      </c>
      <c r="F75" s="54"/>
      <c r="G75" s="53">
        <f t="shared" si="25"/>
        <v>0</v>
      </c>
      <c r="H75" s="170">
        <v>0</v>
      </c>
      <c r="I75" s="69">
        <f t="shared" si="26"/>
        <v>0</v>
      </c>
      <c r="J75" s="53">
        <f t="shared" si="27"/>
        <v>0</v>
      </c>
      <c r="K75" s="53">
        <f t="shared" si="28"/>
        <v>0</v>
      </c>
      <c r="L75" s="200"/>
      <c r="M75" s="200"/>
      <c r="N75" s="53">
        <f t="shared" si="29"/>
        <v>0</v>
      </c>
    </row>
    <row r="76" spans="1:14" x14ac:dyDescent="0.3">
      <c r="A76" s="56"/>
      <c r="B76" s="55" t="s">
        <v>744</v>
      </c>
      <c r="C76" s="54"/>
      <c r="D76" s="54"/>
      <c r="E76" s="54">
        <f t="shared" si="5"/>
        <v>0</v>
      </c>
      <c r="F76" s="54"/>
      <c r="G76" s="53">
        <f t="shared" si="25"/>
        <v>0</v>
      </c>
      <c r="H76" s="170">
        <v>0</v>
      </c>
      <c r="I76" s="69">
        <f t="shared" si="26"/>
        <v>0</v>
      </c>
      <c r="J76" s="53">
        <f t="shared" si="27"/>
        <v>0</v>
      </c>
      <c r="K76" s="53">
        <f t="shared" si="28"/>
        <v>0</v>
      </c>
      <c r="L76" s="200"/>
      <c r="M76" s="200"/>
      <c r="N76" s="53">
        <f t="shared" si="29"/>
        <v>0</v>
      </c>
    </row>
    <row r="77" spans="1:14" x14ac:dyDescent="0.3">
      <c r="A77" s="56" t="s">
        <v>915</v>
      </c>
      <c r="B77" s="56" t="s">
        <v>914</v>
      </c>
      <c r="C77" s="54">
        <v>30000</v>
      </c>
      <c r="D77" s="54"/>
      <c r="E77" s="54">
        <f t="shared" si="5"/>
        <v>30000</v>
      </c>
      <c r="F77" s="54"/>
      <c r="G77" s="53">
        <f t="shared" si="25"/>
        <v>30000</v>
      </c>
      <c r="H77" s="170">
        <v>-30000</v>
      </c>
      <c r="I77" s="69">
        <f t="shared" si="26"/>
        <v>0</v>
      </c>
      <c r="J77" s="53">
        <f t="shared" si="27"/>
        <v>31380</v>
      </c>
      <c r="K77" s="53">
        <f t="shared" si="28"/>
        <v>32823.480000000003</v>
      </c>
      <c r="L77" s="200"/>
      <c r="M77" s="200"/>
      <c r="N77" s="53">
        <f t="shared" si="29"/>
        <v>0</v>
      </c>
    </row>
    <row r="78" spans="1:14" x14ac:dyDescent="0.3">
      <c r="A78" s="56"/>
      <c r="B78" s="56"/>
      <c r="C78" s="54"/>
      <c r="D78" s="54"/>
      <c r="E78" s="54">
        <f t="shared" si="5"/>
        <v>0</v>
      </c>
      <c r="F78" s="54"/>
      <c r="G78" s="53">
        <f t="shared" si="25"/>
        <v>0</v>
      </c>
      <c r="H78" s="170">
        <v>0</v>
      </c>
      <c r="I78" s="69">
        <f t="shared" si="26"/>
        <v>0</v>
      </c>
      <c r="J78" s="53">
        <f t="shared" si="27"/>
        <v>0</v>
      </c>
      <c r="K78" s="53">
        <f t="shared" si="28"/>
        <v>0</v>
      </c>
      <c r="L78" s="200"/>
      <c r="M78" s="200"/>
      <c r="N78" s="53">
        <f t="shared" si="29"/>
        <v>0</v>
      </c>
    </row>
    <row r="79" spans="1:14" x14ac:dyDescent="0.3">
      <c r="A79" s="56"/>
      <c r="B79" s="55" t="s">
        <v>745</v>
      </c>
      <c r="C79" s="54"/>
      <c r="D79" s="54"/>
      <c r="E79" s="54">
        <f t="shared" si="5"/>
        <v>0</v>
      </c>
      <c r="F79" s="54"/>
      <c r="G79" s="53">
        <f t="shared" si="25"/>
        <v>0</v>
      </c>
      <c r="H79" s="170">
        <v>0</v>
      </c>
      <c r="I79" s="69">
        <f t="shared" si="26"/>
        <v>0</v>
      </c>
      <c r="J79" s="53">
        <f t="shared" si="27"/>
        <v>0</v>
      </c>
      <c r="K79" s="53">
        <f t="shared" si="28"/>
        <v>0</v>
      </c>
      <c r="L79" s="200"/>
      <c r="M79" s="200"/>
      <c r="N79" s="53">
        <f t="shared" si="29"/>
        <v>0</v>
      </c>
    </row>
    <row r="80" spans="1:14" x14ac:dyDescent="0.3">
      <c r="A80" s="56" t="s">
        <v>917</v>
      </c>
      <c r="B80" s="56" t="s">
        <v>916</v>
      </c>
      <c r="C80" s="54">
        <v>30000</v>
      </c>
      <c r="D80" s="54"/>
      <c r="E80" s="54">
        <f t="shared" si="5"/>
        <v>30000</v>
      </c>
      <c r="F80" s="54"/>
      <c r="G80" s="53">
        <f t="shared" si="25"/>
        <v>30000</v>
      </c>
      <c r="H80" s="170">
        <v>-30000</v>
      </c>
      <c r="I80" s="69">
        <f t="shared" ref="I80:I111" si="30">G80+H80</f>
        <v>0</v>
      </c>
      <c r="J80" s="53">
        <f t="shared" ref="J80:J111" si="31">C80*104.6%</f>
        <v>31380</v>
      </c>
      <c r="K80" s="53">
        <f t="shared" si="28"/>
        <v>32823.480000000003</v>
      </c>
      <c r="L80" s="200"/>
      <c r="M80" s="200"/>
      <c r="N80" s="53">
        <f t="shared" si="29"/>
        <v>0</v>
      </c>
    </row>
    <row r="81" spans="1:14" x14ac:dyDescent="0.3">
      <c r="A81" s="56"/>
      <c r="B81" s="56"/>
      <c r="C81" s="54"/>
      <c r="D81" s="54"/>
      <c r="E81" s="54">
        <f t="shared" ref="E81:E144" si="32">C81+D81</f>
        <v>0</v>
      </c>
      <c r="F81" s="54"/>
      <c r="G81" s="53">
        <f t="shared" si="25"/>
        <v>0</v>
      </c>
      <c r="H81" s="170">
        <v>0</v>
      </c>
      <c r="I81" s="69">
        <f t="shared" si="30"/>
        <v>0</v>
      </c>
      <c r="J81" s="53">
        <f t="shared" si="31"/>
        <v>0</v>
      </c>
      <c r="K81" s="53">
        <f t="shared" si="28"/>
        <v>0</v>
      </c>
      <c r="L81" s="200"/>
      <c r="M81" s="200"/>
      <c r="N81" s="53">
        <f t="shared" si="29"/>
        <v>0</v>
      </c>
    </row>
    <row r="82" spans="1:14" x14ac:dyDescent="0.3">
      <c r="A82" s="56"/>
      <c r="B82" s="55" t="s">
        <v>746</v>
      </c>
      <c r="C82" s="54"/>
      <c r="D82" s="54"/>
      <c r="E82" s="54">
        <f t="shared" si="32"/>
        <v>0</v>
      </c>
      <c r="F82" s="54"/>
      <c r="G82" s="53">
        <f t="shared" si="25"/>
        <v>0</v>
      </c>
      <c r="H82" s="170">
        <v>0</v>
      </c>
      <c r="I82" s="69">
        <f t="shared" si="30"/>
        <v>0</v>
      </c>
      <c r="J82" s="53">
        <f t="shared" si="31"/>
        <v>0</v>
      </c>
      <c r="K82" s="53">
        <f t="shared" si="28"/>
        <v>0</v>
      </c>
      <c r="L82" s="200"/>
      <c r="M82" s="200"/>
      <c r="N82" s="53">
        <f t="shared" si="29"/>
        <v>0</v>
      </c>
    </row>
    <row r="83" spans="1:14" x14ac:dyDescent="0.3">
      <c r="A83" s="56" t="s">
        <v>918</v>
      </c>
      <c r="B83" s="56" t="s">
        <v>747</v>
      </c>
      <c r="C83" s="54">
        <v>60000</v>
      </c>
      <c r="D83" s="54"/>
      <c r="E83" s="54">
        <f t="shared" si="32"/>
        <v>60000</v>
      </c>
      <c r="F83" s="54"/>
      <c r="G83" s="53">
        <f t="shared" si="25"/>
        <v>60000</v>
      </c>
      <c r="H83" s="170">
        <v>-15250</v>
      </c>
      <c r="I83" s="69">
        <f t="shared" si="30"/>
        <v>44750</v>
      </c>
      <c r="J83" s="53">
        <f t="shared" si="31"/>
        <v>62760</v>
      </c>
      <c r="K83" s="53">
        <f t="shared" si="28"/>
        <v>65646.960000000006</v>
      </c>
      <c r="L83" s="200">
        <v>44750</v>
      </c>
      <c r="M83" s="200"/>
      <c r="N83" s="53">
        <f t="shared" si="29"/>
        <v>0</v>
      </c>
    </row>
    <row r="84" spans="1:14" x14ac:dyDescent="0.3">
      <c r="A84" s="56" t="s">
        <v>919</v>
      </c>
      <c r="B84" s="56" t="s">
        <v>748</v>
      </c>
      <c r="C84" s="54">
        <v>15000</v>
      </c>
      <c r="D84" s="54"/>
      <c r="E84" s="54">
        <f t="shared" si="32"/>
        <v>15000</v>
      </c>
      <c r="F84" s="54"/>
      <c r="G84" s="53">
        <f t="shared" si="25"/>
        <v>15000</v>
      </c>
      <c r="H84" s="170">
        <v>-10</v>
      </c>
      <c r="I84" s="69">
        <f t="shared" si="30"/>
        <v>14990</v>
      </c>
      <c r="J84" s="53">
        <f t="shared" si="31"/>
        <v>15690</v>
      </c>
      <c r="K84" s="53">
        <f t="shared" si="28"/>
        <v>16411.740000000002</v>
      </c>
      <c r="L84" s="200">
        <v>14990</v>
      </c>
      <c r="M84" s="200"/>
      <c r="N84" s="53">
        <f t="shared" si="29"/>
        <v>0</v>
      </c>
    </row>
    <row r="85" spans="1:14" x14ac:dyDescent="0.3">
      <c r="A85" s="56" t="s">
        <v>920</v>
      </c>
      <c r="B85" s="56" t="s">
        <v>749</v>
      </c>
      <c r="C85" s="54">
        <v>80000</v>
      </c>
      <c r="D85" s="54"/>
      <c r="E85" s="54">
        <f t="shared" si="32"/>
        <v>80000</v>
      </c>
      <c r="F85" s="54"/>
      <c r="G85" s="53">
        <f t="shared" si="25"/>
        <v>80000</v>
      </c>
      <c r="H85" s="170">
        <v>11500</v>
      </c>
      <c r="I85" s="69">
        <f t="shared" si="30"/>
        <v>91500</v>
      </c>
      <c r="J85" s="53">
        <f t="shared" si="31"/>
        <v>83680</v>
      </c>
      <c r="K85" s="53">
        <f t="shared" si="28"/>
        <v>87529.279999999999</v>
      </c>
      <c r="L85" s="200">
        <v>91500</v>
      </c>
      <c r="M85" s="200"/>
      <c r="N85" s="53">
        <f t="shared" si="29"/>
        <v>0</v>
      </c>
    </row>
    <row r="86" spans="1:14" x14ac:dyDescent="0.3">
      <c r="A86" s="56" t="s">
        <v>921</v>
      </c>
      <c r="B86" s="56" t="s">
        <v>750</v>
      </c>
      <c r="C86" s="54">
        <v>5000</v>
      </c>
      <c r="D86" s="54"/>
      <c r="E86" s="54">
        <f t="shared" si="32"/>
        <v>5000</v>
      </c>
      <c r="F86" s="54"/>
      <c r="G86" s="53">
        <f t="shared" si="25"/>
        <v>5000</v>
      </c>
      <c r="H86" s="170">
        <v>-5000</v>
      </c>
      <c r="I86" s="69">
        <f t="shared" si="30"/>
        <v>0</v>
      </c>
      <c r="J86" s="53">
        <f t="shared" si="31"/>
        <v>5230</v>
      </c>
      <c r="K86" s="53">
        <f t="shared" si="28"/>
        <v>5470.58</v>
      </c>
      <c r="L86" s="200">
        <v>0</v>
      </c>
      <c r="M86" s="200"/>
      <c r="N86" s="53">
        <f t="shared" si="29"/>
        <v>0</v>
      </c>
    </row>
    <row r="87" spans="1:14" x14ac:dyDescent="0.3">
      <c r="A87" s="56" t="s">
        <v>922</v>
      </c>
      <c r="B87" s="56" t="s">
        <v>751</v>
      </c>
      <c r="C87" s="54">
        <v>20000</v>
      </c>
      <c r="D87" s="54"/>
      <c r="E87" s="54">
        <f t="shared" si="32"/>
        <v>20000</v>
      </c>
      <c r="F87" s="54"/>
      <c r="G87" s="53">
        <f t="shared" si="25"/>
        <v>20000</v>
      </c>
      <c r="H87" s="170">
        <v>-250</v>
      </c>
      <c r="I87" s="69">
        <f t="shared" si="30"/>
        <v>19750</v>
      </c>
      <c r="J87" s="53">
        <f t="shared" si="31"/>
        <v>20920</v>
      </c>
      <c r="K87" s="53">
        <f t="shared" si="28"/>
        <v>21882.32</v>
      </c>
      <c r="L87" s="200">
        <v>19750</v>
      </c>
      <c r="M87" s="200"/>
      <c r="N87" s="53">
        <f t="shared" si="29"/>
        <v>0</v>
      </c>
    </row>
    <row r="88" spans="1:14" x14ac:dyDescent="0.3">
      <c r="A88" s="56"/>
      <c r="B88" s="56"/>
      <c r="C88" s="54"/>
      <c r="D88" s="54"/>
      <c r="E88" s="54">
        <f t="shared" si="32"/>
        <v>0</v>
      </c>
      <c r="F88" s="54"/>
      <c r="G88" s="53">
        <f t="shared" si="25"/>
        <v>0</v>
      </c>
      <c r="H88" s="170">
        <v>0</v>
      </c>
      <c r="I88" s="69">
        <f t="shared" si="30"/>
        <v>0</v>
      </c>
      <c r="J88" s="53">
        <f t="shared" si="31"/>
        <v>0</v>
      </c>
      <c r="K88" s="53">
        <f t="shared" si="28"/>
        <v>0</v>
      </c>
      <c r="L88" s="200"/>
      <c r="M88" s="200"/>
      <c r="N88" s="53">
        <f t="shared" si="29"/>
        <v>0</v>
      </c>
    </row>
    <row r="89" spans="1:14" x14ac:dyDescent="0.3">
      <c r="A89" s="56"/>
      <c r="B89" s="55" t="s">
        <v>752</v>
      </c>
      <c r="C89" s="54"/>
      <c r="D89" s="54"/>
      <c r="E89" s="54">
        <f t="shared" si="32"/>
        <v>0</v>
      </c>
      <c r="F89" s="54"/>
      <c r="G89" s="53">
        <f t="shared" si="25"/>
        <v>0</v>
      </c>
      <c r="H89" s="170">
        <v>0</v>
      </c>
      <c r="I89" s="69">
        <f t="shared" si="30"/>
        <v>0</v>
      </c>
      <c r="J89" s="53">
        <f t="shared" si="31"/>
        <v>0</v>
      </c>
      <c r="K89" s="53">
        <f t="shared" si="28"/>
        <v>0</v>
      </c>
      <c r="L89" s="200"/>
      <c r="M89" s="200"/>
      <c r="N89" s="53">
        <f t="shared" si="29"/>
        <v>0</v>
      </c>
    </row>
    <row r="90" spans="1:14" x14ac:dyDescent="0.3">
      <c r="A90" s="56" t="s">
        <v>923</v>
      </c>
      <c r="B90" s="56" t="s">
        <v>924</v>
      </c>
      <c r="C90" s="54">
        <v>30000</v>
      </c>
      <c r="D90" s="54"/>
      <c r="E90" s="54">
        <f t="shared" si="32"/>
        <v>30000</v>
      </c>
      <c r="F90" s="54"/>
      <c r="G90" s="53">
        <f t="shared" si="25"/>
        <v>30000</v>
      </c>
      <c r="H90" s="170">
        <v>-30000</v>
      </c>
      <c r="I90" s="69">
        <f t="shared" si="30"/>
        <v>0</v>
      </c>
      <c r="J90" s="53">
        <f t="shared" si="31"/>
        <v>31380</v>
      </c>
      <c r="K90" s="53">
        <f t="shared" si="28"/>
        <v>32823.480000000003</v>
      </c>
      <c r="L90" s="200"/>
      <c r="M90" s="200"/>
      <c r="N90" s="53">
        <f t="shared" si="29"/>
        <v>0</v>
      </c>
    </row>
    <row r="91" spans="1:14" x14ac:dyDescent="0.3">
      <c r="A91" s="56" t="s">
        <v>926</v>
      </c>
      <c r="B91" s="56" t="s">
        <v>925</v>
      </c>
      <c r="C91" s="54">
        <v>150000</v>
      </c>
      <c r="D91" s="54"/>
      <c r="E91" s="54">
        <f t="shared" si="32"/>
        <v>150000</v>
      </c>
      <c r="F91" s="54"/>
      <c r="G91" s="53">
        <f t="shared" si="25"/>
        <v>150000</v>
      </c>
      <c r="H91" s="170"/>
      <c r="I91" s="69">
        <f t="shared" si="30"/>
        <v>150000</v>
      </c>
      <c r="J91" s="53">
        <f t="shared" si="31"/>
        <v>156900</v>
      </c>
      <c r="K91" s="53">
        <f t="shared" si="28"/>
        <v>164117.4</v>
      </c>
      <c r="L91" s="200"/>
      <c r="M91" s="200"/>
      <c r="N91" s="53">
        <f t="shared" si="29"/>
        <v>150000</v>
      </c>
    </row>
    <row r="92" spans="1:14" x14ac:dyDescent="0.3">
      <c r="A92" s="56"/>
      <c r="B92" s="56"/>
      <c r="C92" s="54"/>
      <c r="D92" s="54"/>
      <c r="E92" s="54">
        <f t="shared" si="32"/>
        <v>0</v>
      </c>
      <c r="F92" s="54"/>
      <c r="G92" s="53">
        <f t="shared" si="25"/>
        <v>0</v>
      </c>
      <c r="H92" s="170"/>
      <c r="I92" s="69">
        <f t="shared" si="30"/>
        <v>0</v>
      </c>
      <c r="J92" s="53">
        <f t="shared" si="31"/>
        <v>0</v>
      </c>
      <c r="K92" s="53">
        <f t="shared" si="28"/>
        <v>0</v>
      </c>
      <c r="L92" s="200"/>
      <c r="M92" s="200"/>
      <c r="N92" s="53">
        <f t="shared" si="29"/>
        <v>0</v>
      </c>
    </row>
    <row r="93" spans="1:14" x14ac:dyDescent="0.3">
      <c r="A93" s="56"/>
      <c r="B93" s="55" t="s">
        <v>753</v>
      </c>
      <c r="C93" s="54"/>
      <c r="D93" s="54"/>
      <c r="E93" s="54">
        <f t="shared" si="32"/>
        <v>0</v>
      </c>
      <c r="F93" s="54"/>
      <c r="G93" s="53">
        <f t="shared" si="25"/>
        <v>0</v>
      </c>
      <c r="H93" s="170"/>
      <c r="I93" s="69">
        <f t="shared" si="30"/>
        <v>0</v>
      </c>
      <c r="J93" s="53">
        <f t="shared" si="31"/>
        <v>0</v>
      </c>
      <c r="K93" s="53">
        <f t="shared" si="28"/>
        <v>0</v>
      </c>
      <c r="L93" s="200"/>
      <c r="M93" s="200"/>
      <c r="N93" s="53">
        <f t="shared" si="29"/>
        <v>0</v>
      </c>
    </row>
    <row r="94" spans="1:14" x14ac:dyDescent="0.3">
      <c r="A94" s="56" t="s">
        <v>929</v>
      </c>
      <c r="B94" s="56" t="s">
        <v>927</v>
      </c>
      <c r="C94" s="54">
        <v>20000</v>
      </c>
      <c r="D94" s="54"/>
      <c r="E94" s="54">
        <f t="shared" si="32"/>
        <v>20000</v>
      </c>
      <c r="F94" s="54"/>
      <c r="G94" s="53">
        <f t="shared" si="25"/>
        <v>20000</v>
      </c>
      <c r="H94" s="170">
        <v>-20000</v>
      </c>
      <c r="I94" s="69">
        <f t="shared" si="30"/>
        <v>0</v>
      </c>
      <c r="J94" s="53">
        <f t="shared" si="31"/>
        <v>20920</v>
      </c>
      <c r="K94" s="53">
        <f t="shared" si="28"/>
        <v>21882.32</v>
      </c>
      <c r="L94" s="200"/>
      <c r="M94" s="200"/>
      <c r="N94" s="53">
        <f t="shared" si="29"/>
        <v>0</v>
      </c>
    </row>
    <row r="95" spans="1:14" x14ac:dyDescent="0.3">
      <c r="A95" s="56" t="s">
        <v>930</v>
      </c>
      <c r="B95" s="56" t="s">
        <v>928</v>
      </c>
      <c r="C95" s="54">
        <v>50000</v>
      </c>
      <c r="D95" s="54"/>
      <c r="E95" s="54">
        <f t="shared" si="32"/>
        <v>50000</v>
      </c>
      <c r="F95" s="54"/>
      <c r="G95" s="53">
        <f t="shared" si="25"/>
        <v>50000</v>
      </c>
      <c r="H95" s="170">
        <v>-50000</v>
      </c>
      <c r="I95" s="69">
        <f t="shared" si="30"/>
        <v>0</v>
      </c>
      <c r="J95" s="53">
        <f t="shared" si="31"/>
        <v>52300</v>
      </c>
      <c r="K95" s="53">
        <f t="shared" si="28"/>
        <v>54705.8</v>
      </c>
      <c r="L95" s="200"/>
      <c r="M95" s="200"/>
      <c r="N95" s="53">
        <f t="shared" si="29"/>
        <v>0</v>
      </c>
    </row>
    <row r="96" spans="1:14" x14ac:dyDescent="0.3">
      <c r="A96" s="56"/>
      <c r="B96" s="56"/>
      <c r="C96" s="54"/>
      <c r="D96" s="54"/>
      <c r="E96" s="54">
        <f t="shared" si="32"/>
        <v>0</v>
      </c>
      <c r="F96" s="54"/>
      <c r="G96" s="53">
        <f t="shared" si="25"/>
        <v>0</v>
      </c>
      <c r="H96" s="170"/>
      <c r="I96" s="69">
        <f t="shared" si="30"/>
        <v>0</v>
      </c>
      <c r="J96" s="53">
        <f t="shared" si="31"/>
        <v>0</v>
      </c>
      <c r="K96" s="53">
        <f t="shared" si="28"/>
        <v>0</v>
      </c>
      <c r="L96" s="200"/>
      <c r="M96" s="200"/>
      <c r="N96" s="53">
        <f t="shared" si="29"/>
        <v>0</v>
      </c>
    </row>
    <row r="97" spans="1:16" x14ac:dyDescent="0.3">
      <c r="A97" s="56"/>
      <c r="B97" s="55" t="s">
        <v>754</v>
      </c>
      <c r="C97" s="54"/>
      <c r="D97" s="54"/>
      <c r="E97" s="54">
        <f t="shared" si="32"/>
        <v>0</v>
      </c>
      <c r="F97" s="54"/>
      <c r="G97" s="53">
        <f t="shared" si="25"/>
        <v>0</v>
      </c>
      <c r="H97" s="170"/>
      <c r="I97" s="69">
        <f t="shared" si="30"/>
        <v>0</v>
      </c>
      <c r="J97" s="53">
        <f t="shared" si="31"/>
        <v>0</v>
      </c>
      <c r="K97" s="53">
        <f t="shared" si="28"/>
        <v>0</v>
      </c>
      <c r="L97" s="200"/>
      <c r="M97" s="200"/>
      <c r="N97" s="53">
        <f t="shared" si="29"/>
        <v>0</v>
      </c>
    </row>
    <row r="98" spans="1:16" x14ac:dyDescent="0.3">
      <c r="A98" s="56" t="s">
        <v>933</v>
      </c>
      <c r="B98" s="56" t="s">
        <v>932</v>
      </c>
      <c r="C98" s="54">
        <v>80000</v>
      </c>
      <c r="D98" s="54"/>
      <c r="E98" s="54">
        <f t="shared" si="32"/>
        <v>80000</v>
      </c>
      <c r="F98" s="54"/>
      <c r="G98" s="53">
        <f t="shared" si="25"/>
        <v>80000</v>
      </c>
      <c r="H98" s="170">
        <v>-80000</v>
      </c>
      <c r="I98" s="69">
        <f t="shared" si="30"/>
        <v>0</v>
      </c>
      <c r="J98" s="53">
        <f t="shared" si="31"/>
        <v>83680</v>
      </c>
      <c r="K98" s="53">
        <f t="shared" si="28"/>
        <v>87529.279999999999</v>
      </c>
      <c r="L98" s="200"/>
      <c r="M98" s="200"/>
      <c r="N98" s="53">
        <f t="shared" si="29"/>
        <v>0</v>
      </c>
    </row>
    <row r="99" spans="1:16" x14ac:dyDescent="0.3">
      <c r="A99" s="56" t="s">
        <v>934</v>
      </c>
      <c r="B99" s="56" t="s">
        <v>931</v>
      </c>
      <c r="C99" s="54">
        <v>50000</v>
      </c>
      <c r="D99" s="54"/>
      <c r="E99" s="54">
        <f t="shared" si="32"/>
        <v>50000</v>
      </c>
      <c r="F99" s="54"/>
      <c r="G99" s="53">
        <f t="shared" si="25"/>
        <v>50000</v>
      </c>
      <c r="H99" s="170">
        <v>-50000</v>
      </c>
      <c r="I99" s="69">
        <f t="shared" si="30"/>
        <v>0</v>
      </c>
      <c r="J99" s="53">
        <f t="shared" si="31"/>
        <v>52300</v>
      </c>
      <c r="K99" s="53">
        <f t="shared" si="28"/>
        <v>54705.8</v>
      </c>
      <c r="L99" s="200"/>
      <c r="M99" s="200"/>
      <c r="N99" s="53">
        <f t="shared" si="29"/>
        <v>0</v>
      </c>
    </row>
    <row r="100" spans="1:16" s="241" customFormat="1" x14ac:dyDescent="0.3">
      <c r="A100" s="237" t="s">
        <v>935</v>
      </c>
      <c r="B100" s="237" t="s">
        <v>755</v>
      </c>
      <c r="C100" s="238">
        <v>15000</v>
      </c>
      <c r="D100" s="238"/>
      <c r="E100" s="238">
        <f t="shared" si="32"/>
        <v>15000</v>
      </c>
      <c r="F100" s="238"/>
      <c r="G100" s="149">
        <f t="shared" si="25"/>
        <v>15000</v>
      </c>
      <c r="H100" s="209">
        <v>-15000</v>
      </c>
      <c r="I100" s="210">
        <f t="shared" si="30"/>
        <v>0</v>
      </c>
      <c r="J100" s="149">
        <f t="shared" si="31"/>
        <v>15690</v>
      </c>
      <c r="K100" s="149">
        <f t="shared" si="28"/>
        <v>16411.740000000002</v>
      </c>
      <c r="L100" s="239"/>
      <c r="M100" s="239"/>
      <c r="N100" s="149">
        <f t="shared" si="29"/>
        <v>0</v>
      </c>
      <c r="O100" s="240"/>
      <c r="P100" s="240"/>
    </row>
    <row r="101" spans="1:16" x14ac:dyDescent="0.3">
      <c r="A101" s="56"/>
      <c r="B101" s="56"/>
      <c r="C101" s="54"/>
      <c r="D101" s="54"/>
      <c r="E101" s="54">
        <f t="shared" si="32"/>
        <v>0</v>
      </c>
      <c r="F101" s="54"/>
      <c r="G101" s="53">
        <f t="shared" si="25"/>
        <v>0</v>
      </c>
      <c r="H101" s="170"/>
      <c r="I101" s="69">
        <f t="shared" si="30"/>
        <v>0</v>
      </c>
      <c r="J101" s="53">
        <f t="shared" si="31"/>
        <v>0</v>
      </c>
      <c r="K101" s="53">
        <f t="shared" si="28"/>
        <v>0</v>
      </c>
      <c r="L101" s="200"/>
      <c r="M101" s="200"/>
      <c r="N101" s="53">
        <f t="shared" si="29"/>
        <v>0</v>
      </c>
    </row>
    <row r="102" spans="1:16" x14ac:dyDescent="0.3">
      <c r="A102" s="56"/>
      <c r="B102" s="55" t="s">
        <v>756</v>
      </c>
      <c r="C102" s="54"/>
      <c r="D102" s="54"/>
      <c r="E102" s="54">
        <f t="shared" si="32"/>
        <v>0</v>
      </c>
      <c r="F102" s="54"/>
      <c r="G102" s="53">
        <f t="shared" si="25"/>
        <v>0</v>
      </c>
      <c r="H102" s="170"/>
      <c r="I102" s="69">
        <f t="shared" si="30"/>
        <v>0</v>
      </c>
      <c r="J102" s="53">
        <f t="shared" si="31"/>
        <v>0</v>
      </c>
      <c r="K102" s="53">
        <f t="shared" si="28"/>
        <v>0</v>
      </c>
      <c r="L102" s="200"/>
      <c r="M102" s="200"/>
      <c r="N102" s="53">
        <f t="shared" si="29"/>
        <v>0</v>
      </c>
    </row>
    <row r="103" spans="1:16" x14ac:dyDescent="0.3">
      <c r="A103" s="56" t="s">
        <v>936</v>
      </c>
      <c r="B103" s="56" t="s">
        <v>757</v>
      </c>
      <c r="C103" s="54">
        <v>15000</v>
      </c>
      <c r="D103" s="54"/>
      <c r="E103" s="54">
        <f t="shared" si="32"/>
        <v>15000</v>
      </c>
      <c r="F103" s="54"/>
      <c r="G103" s="53">
        <f t="shared" si="25"/>
        <v>15000</v>
      </c>
      <c r="H103" s="170">
        <v>-15000</v>
      </c>
      <c r="I103" s="69">
        <f t="shared" si="30"/>
        <v>0</v>
      </c>
      <c r="J103" s="53">
        <f t="shared" si="31"/>
        <v>15690</v>
      </c>
      <c r="K103" s="53">
        <f t="shared" si="28"/>
        <v>16411.740000000002</v>
      </c>
      <c r="L103" s="200"/>
      <c r="M103" s="200"/>
      <c r="N103" s="53">
        <f t="shared" si="29"/>
        <v>0</v>
      </c>
    </row>
    <row r="104" spans="1:16" x14ac:dyDescent="0.3">
      <c r="A104" s="56" t="s">
        <v>937</v>
      </c>
      <c r="B104" s="56" t="s">
        <v>758</v>
      </c>
      <c r="C104" s="54">
        <v>30000</v>
      </c>
      <c r="D104" s="54"/>
      <c r="E104" s="54">
        <f t="shared" si="32"/>
        <v>30000</v>
      </c>
      <c r="F104" s="54"/>
      <c r="G104" s="53">
        <f t="shared" si="25"/>
        <v>30000</v>
      </c>
      <c r="H104" s="170">
        <v>-30000</v>
      </c>
      <c r="I104" s="69">
        <f t="shared" si="30"/>
        <v>0</v>
      </c>
      <c r="J104" s="53">
        <f t="shared" si="31"/>
        <v>31380</v>
      </c>
      <c r="K104" s="53">
        <f t="shared" si="28"/>
        <v>32823.480000000003</v>
      </c>
      <c r="L104" s="200"/>
      <c r="M104" s="200"/>
      <c r="N104" s="53">
        <f t="shared" si="29"/>
        <v>0</v>
      </c>
    </row>
    <row r="105" spans="1:16" x14ac:dyDescent="0.3">
      <c r="A105" s="56" t="s">
        <v>938</v>
      </c>
      <c r="B105" s="56" t="s">
        <v>759</v>
      </c>
      <c r="C105" s="54">
        <v>10000</v>
      </c>
      <c r="D105" s="54"/>
      <c r="E105" s="54">
        <f t="shared" si="32"/>
        <v>10000</v>
      </c>
      <c r="F105" s="54"/>
      <c r="G105" s="53">
        <f t="shared" si="25"/>
        <v>10000</v>
      </c>
      <c r="H105" s="170">
        <v>-10000</v>
      </c>
      <c r="I105" s="69">
        <f t="shared" si="30"/>
        <v>0</v>
      </c>
      <c r="J105" s="53">
        <f t="shared" si="31"/>
        <v>10460</v>
      </c>
      <c r="K105" s="53">
        <f t="shared" si="28"/>
        <v>10941.16</v>
      </c>
      <c r="L105" s="200"/>
      <c r="M105" s="200"/>
      <c r="N105" s="53">
        <f t="shared" si="29"/>
        <v>0</v>
      </c>
    </row>
    <row r="106" spans="1:16" x14ac:dyDescent="0.3">
      <c r="A106" s="56" t="s">
        <v>939</v>
      </c>
      <c r="B106" s="56" t="s">
        <v>760</v>
      </c>
      <c r="C106" s="54">
        <v>5000</v>
      </c>
      <c r="D106" s="54"/>
      <c r="E106" s="54">
        <f t="shared" si="32"/>
        <v>5000</v>
      </c>
      <c r="F106" s="54"/>
      <c r="G106" s="53">
        <f t="shared" si="25"/>
        <v>5000</v>
      </c>
      <c r="H106" s="170">
        <v>-5000</v>
      </c>
      <c r="I106" s="69">
        <f t="shared" si="30"/>
        <v>0</v>
      </c>
      <c r="J106" s="53">
        <f t="shared" si="31"/>
        <v>5230</v>
      </c>
      <c r="K106" s="53">
        <f t="shared" si="28"/>
        <v>5470.58</v>
      </c>
      <c r="L106" s="200"/>
      <c r="M106" s="200"/>
      <c r="N106" s="53">
        <f t="shared" si="29"/>
        <v>0</v>
      </c>
    </row>
    <row r="107" spans="1:16" x14ac:dyDescent="0.3">
      <c r="A107" s="56"/>
      <c r="B107" s="56"/>
      <c r="C107" s="54"/>
      <c r="D107" s="54"/>
      <c r="E107" s="54">
        <f t="shared" si="32"/>
        <v>0</v>
      </c>
      <c r="F107" s="54"/>
      <c r="G107" s="53">
        <f t="shared" si="25"/>
        <v>0</v>
      </c>
      <c r="H107" s="170">
        <v>0</v>
      </c>
      <c r="I107" s="69">
        <f t="shared" si="30"/>
        <v>0</v>
      </c>
      <c r="J107" s="53">
        <f t="shared" si="31"/>
        <v>0</v>
      </c>
      <c r="K107" s="53">
        <f t="shared" si="28"/>
        <v>0</v>
      </c>
      <c r="L107" s="200"/>
      <c r="M107" s="200"/>
      <c r="N107" s="53">
        <f t="shared" si="29"/>
        <v>0</v>
      </c>
    </row>
    <row r="108" spans="1:16" x14ac:dyDescent="0.3">
      <c r="A108" s="56"/>
      <c r="B108" s="55" t="s">
        <v>761</v>
      </c>
      <c r="C108" s="54"/>
      <c r="D108" s="54"/>
      <c r="E108" s="54">
        <f t="shared" si="32"/>
        <v>0</v>
      </c>
      <c r="F108" s="54"/>
      <c r="G108" s="53">
        <f t="shared" si="25"/>
        <v>0</v>
      </c>
      <c r="H108" s="170">
        <v>0</v>
      </c>
      <c r="I108" s="69">
        <f t="shared" si="30"/>
        <v>0</v>
      </c>
      <c r="J108" s="53">
        <f t="shared" si="31"/>
        <v>0</v>
      </c>
      <c r="K108" s="53">
        <f t="shared" si="28"/>
        <v>0</v>
      </c>
      <c r="L108" s="200"/>
      <c r="M108" s="200"/>
      <c r="N108" s="53">
        <f t="shared" si="29"/>
        <v>0</v>
      </c>
    </row>
    <row r="109" spans="1:16" x14ac:dyDescent="0.3">
      <c r="A109" s="56" t="s">
        <v>953</v>
      </c>
      <c r="B109" s="56" t="s">
        <v>762</v>
      </c>
      <c r="C109" s="54">
        <v>30000</v>
      </c>
      <c r="D109" s="54"/>
      <c r="E109" s="54">
        <f t="shared" si="32"/>
        <v>30000</v>
      </c>
      <c r="F109" s="54"/>
      <c r="G109" s="53">
        <f t="shared" si="25"/>
        <v>30000</v>
      </c>
      <c r="H109" s="170">
        <v>-30000</v>
      </c>
      <c r="I109" s="69">
        <f t="shared" si="30"/>
        <v>0</v>
      </c>
      <c r="J109" s="53">
        <f t="shared" si="31"/>
        <v>31380</v>
      </c>
      <c r="K109" s="53">
        <f t="shared" si="28"/>
        <v>32823.480000000003</v>
      </c>
      <c r="L109" s="200"/>
      <c r="M109" s="200"/>
      <c r="N109" s="53">
        <f t="shared" si="29"/>
        <v>0</v>
      </c>
    </row>
    <row r="110" spans="1:16" x14ac:dyDescent="0.3">
      <c r="A110" s="56" t="s">
        <v>952</v>
      </c>
      <c r="B110" s="56" t="s">
        <v>951</v>
      </c>
      <c r="C110" s="54">
        <v>30000</v>
      </c>
      <c r="D110" s="54"/>
      <c r="E110" s="54">
        <f t="shared" si="32"/>
        <v>30000</v>
      </c>
      <c r="F110" s="54"/>
      <c r="G110" s="53">
        <f t="shared" si="25"/>
        <v>30000</v>
      </c>
      <c r="H110" s="170">
        <v>-30000</v>
      </c>
      <c r="I110" s="69">
        <f t="shared" si="30"/>
        <v>0</v>
      </c>
      <c r="J110" s="53">
        <f t="shared" si="31"/>
        <v>31380</v>
      </c>
      <c r="K110" s="53">
        <f t="shared" si="28"/>
        <v>32823.480000000003</v>
      </c>
      <c r="L110" s="200"/>
      <c r="M110" s="200"/>
      <c r="N110" s="53">
        <f t="shared" si="29"/>
        <v>0</v>
      </c>
    </row>
    <row r="111" spans="1:16" x14ac:dyDescent="0.3">
      <c r="A111" s="56"/>
      <c r="B111" s="56"/>
      <c r="C111" s="54"/>
      <c r="D111" s="54"/>
      <c r="E111" s="54">
        <f t="shared" si="32"/>
        <v>0</v>
      </c>
      <c r="F111" s="54"/>
      <c r="G111" s="53">
        <f t="shared" si="25"/>
        <v>0</v>
      </c>
      <c r="H111" s="170">
        <v>0</v>
      </c>
      <c r="I111" s="69">
        <f t="shared" si="30"/>
        <v>0</v>
      </c>
      <c r="J111" s="53">
        <f t="shared" si="31"/>
        <v>0</v>
      </c>
      <c r="K111" s="53">
        <f t="shared" si="28"/>
        <v>0</v>
      </c>
      <c r="L111" s="200"/>
      <c r="M111" s="200"/>
      <c r="N111" s="53">
        <f t="shared" si="29"/>
        <v>0</v>
      </c>
    </row>
    <row r="112" spans="1:16" x14ac:dyDescent="0.3">
      <c r="A112" s="56"/>
      <c r="B112" s="55" t="s">
        <v>763</v>
      </c>
      <c r="C112" s="54"/>
      <c r="D112" s="54"/>
      <c r="E112" s="54">
        <f t="shared" si="32"/>
        <v>0</v>
      </c>
      <c r="F112" s="54"/>
      <c r="G112" s="53">
        <f t="shared" ref="G112:G157" si="33">E112+F112</f>
        <v>0</v>
      </c>
      <c r="H112" s="170">
        <v>0</v>
      </c>
      <c r="I112" s="69">
        <f t="shared" ref="I112:I143" si="34">G112+H112</f>
        <v>0</v>
      </c>
      <c r="J112" s="53">
        <f t="shared" ref="J112:J143" si="35">C112*104.6%</f>
        <v>0</v>
      </c>
      <c r="K112" s="53">
        <f t="shared" si="28"/>
        <v>0</v>
      </c>
      <c r="L112" s="200"/>
      <c r="M112" s="200"/>
      <c r="N112" s="53">
        <f t="shared" ref="N112:N157" si="36">I112-L112-M112</f>
        <v>0</v>
      </c>
    </row>
    <row r="113" spans="1:14" x14ac:dyDescent="0.3">
      <c r="A113" s="56" t="s">
        <v>954</v>
      </c>
      <c r="B113" s="56" t="s">
        <v>764</v>
      </c>
      <c r="C113" s="54">
        <v>20000</v>
      </c>
      <c r="D113" s="54"/>
      <c r="E113" s="54">
        <f t="shared" si="32"/>
        <v>20000</v>
      </c>
      <c r="F113" s="54"/>
      <c r="G113" s="53">
        <f t="shared" si="33"/>
        <v>20000</v>
      </c>
      <c r="H113" s="170">
        <v>-20000</v>
      </c>
      <c r="I113" s="69">
        <f t="shared" si="34"/>
        <v>0</v>
      </c>
      <c r="J113" s="53">
        <f t="shared" si="35"/>
        <v>20920</v>
      </c>
      <c r="K113" s="53">
        <f t="shared" si="28"/>
        <v>21882.32</v>
      </c>
      <c r="L113" s="200"/>
      <c r="M113" s="200"/>
      <c r="N113" s="53">
        <f t="shared" si="36"/>
        <v>0</v>
      </c>
    </row>
    <row r="114" spans="1:14" x14ac:dyDescent="0.3">
      <c r="A114" s="56" t="s">
        <v>955</v>
      </c>
      <c r="B114" s="56" t="s">
        <v>956</v>
      </c>
      <c r="C114" s="54">
        <v>20000</v>
      </c>
      <c r="D114" s="54"/>
      <c r="E114" s="54">
        <f t="shared" si="32"/>
        <v>20000</v>
      </c>
      <c r="F114" s="54"/>
      <c r="G114" s="53">
        <f t="shared" si="33"/>
        <v>20000</v>
      </c>
      <c r="H114" s="170">
        <v>-20000</v>
      </c>
      <c r="I114" s="69">
        <f t="shared" si="34"/>
        <v>0</v>
      </c>
      <c r="J114" s="53">
        <f t="shared" si="35"/>
        <v>20920</v>
      </c>
      <c r="K114" s="53">
        <f t="shared" ref="K114:K191" si="37">J114*104.6%</f>
        <v>21882.32</v>
      </c>
      <c r="L114" s="200"/>
      <c r="M114" s="200"/>
      <c r="N114" s="53">
        <f t="shared" si="36"/>
        <v>0</v>
      </c>
    </row>
    <row r="115" spans="1:14" x14ac:dyDescent="0.3">
      <c r="A115" s="56"/>
      <c r="B115" s="56"/>
      <c r="C115" s="54"/>
      <c r="D115" s="54"/>
      <c r="E115" s="54">
        <f t="shared" si="32"/>
        <v>0</v>
      </c>
      <c r="F115" s="54"/>
      <c r="G115" s="53">
        <f t="shared" si="33"/>
        <v>0</v>
      </c>
      <c r="H115" s="170">
        <v>0</v>
      </c>
      <c r="I115" s="69">
        <f t="shared" si="34"/>
        <v>0</v>
      </c>
      <c r="J115" s="53">
        <f t="shared" si="35"/>
        <v>0</v>
      </c>
      <c r="K115" s="53">
        <f t="shared" si="37"/>
        <v>0</v>
      </c>
      <c r="L115" s="200"/>
      <c r="M115" s="200"/>
      <c r="N115" s="53">
        <f t="shared" si="36"/>
        <v>0</v>
      </c>
    </row>
    <row r="116" spans="1:14" x14ac:dyDescent="0.3">
      <c r="A116" s="56"/>
      <c r="B116" s="55" t="s">
        <v>765</v>
      </c>
      <c r="C116" s="54"/>
      <c r="D116" s="54"/>
      <c r="E116" s="54">
        <f t="shared" si="32"/>
        <v>0</v>
      </c>
      <c r="F116" s="54"/>
      <c r="G116" s="53">
        <f t="shared" si="33"/>
        <v>0</v>
      </c>
      <c r="H116" s="170">
        <v>0</v>
      </c>
      <c r="I116" s="69">
        <f t="shared" si="34"/>
        <v>0</v>
      </c>
      <c r="J116" s="53">
        <f t="shared" si="35"/>
        <v>0</v>
      </c>
      <c r="K116" s="53">
        <f t="shared" si="37"/>
        <v>0</v>
      </c>
      <c r="L116" s="200"/>
      <c r="M116" s="200"/>
      <c r="N116" s="53">
        <f t="shared" si="36"/>
        <v>0</v>
      </c>
    </row>
    <row r="117" spans="1:14" x14ac:dyDescent="0.3">
      <c r="A117" s="56" t="s">
        <v>960</v>
      </c>
      <c r="B117" s="56" t="s">
        <v>957</v>
      </c>
      <c r="C117" s="54">
        <v>60000</v>
      </c>
      <c r="D117" s="54"/>
      <c r="E117" s="54">
        <f t="shared" si="32"/>
        <v>60000</v>
      </c>
      <c r="F117" s="54"/>
      <c r="G117" s="53">
        <f t="shared" si="33"/>
        <v>60000</v>
      </c>
      <c r="H117" s="170">
        <v>-501</v>
      </c>
      <c r="I117" s="69">
        <f t="shared" si="34"/>
        <v>59499</v>
      </c>
      <c r="J117" s="53">
        <f t="shared" si="35"/>
        <v>62760</v>
      </c>
      <c r="K117" s="53">
        <f t="shared" si="37"/>
        <v>65646.960000000006</v>
      </c>
      <c r="L117" s="200">
        <v>59499</v>
      </c>
      <c r="M117" s="200"/>
      <c r="N117" s="53">
        <f t="shared" si="36"/>
        <v>0</v>
      </c>
    </row>
    <row r="118" spans="1:14" x14ac:dyDescent="0.3">
      <c r="A118" s="56" t="s">
        <v>959</v>
      </c>
      <c r="B118" s="56" t="s">
        <v>958</v>
      </c>
      <c r="C118" s="54">
        <v>30000</v>
      </c>
      <c r="D118" s="54"/>
      <c r="E118" s="54">
        <f t="shared" si="32"/>
        <v>30000</v>
      </c>
      <c r="F118" s="54"/>
      <c r="G118" s="53">
        <f t="shared" si="33"/>
        <v>30000</v>
      </c>
      <c r="H118" s="170">
        <v>8469.5999999999985</v>
      </c>
      <c r="I118" s="69">
        <f t="shared" si="34"/>
        <v>38469.599999999999</v>
      </c>
      <c r="J118" s="53">
        <f t="shared" si="35"/>
        <v>31380</v>
      </c>
      <c r="K118" s="53">
        <f t="shared" si="37"/>
        <v>32823.480000000003</v>
      </c>
      <c r="L118" s="200">
        <v>38469.599999999999</v>
      </c>
      <c r="M118" s="200"/>
      <c r="N118" s="53">
        <f t="shared" si="36"/>
        <v>0</v>
      </c>
    </row>
    <row r="119" spans="1:14" x14ac:dyDescent="0.3">
      <c r="A119" s="56"/>
      <c r="B119" s="56"/>
      <c r="C119" s="54"/>
      <c r="D119" s="54"/>
      <c r="E119" s="54">
        <f t="shared" si="32"/>
        <v>0</v>
      </c>
      <c r="F119" s="54"/>
      <c r="G119" s="53">
        <f t="shared" si="33"/>
        <v>0</v>
      </c>
      <c r="H119" s="170">
        <v>0</v>
      </c>
      <c r="I119" s="69">
        <f t="shared" si="34"/>
        <v>0</v>
      </c>
      <c r="J119" s="53">
        <f t="shared" si="35"/>
        <v>0</v>
      </c>
      <c r="K119" s="53">
        <f t="shared" si="37"/>
        <v>0</v>
      </c>
      <c r="L119" s="200"/>
      <c r="M119" s="200"/>
      <c r="N119" s="53">
        <f t="shared" si="36"/>
        <v>0</v>
      </c>
    </row>
    <row r="120" spans="1:14" x14ac:dyDescent="0.3">
      <c r="A120" s="56"/>
      <c r="B120" s="55" t="s">
        <v>766</v>
      </c>
      <c r="C120" s="54"/>
      <c r="D120" s="54"/>
      <c r="E120" s="54">
        <f t="shared" si="32"/>
        <v>0</v>
      </c>
      <c r="F120" s="54"/>
      <c r="G120" s="53">
        <f t="shared" si="33"/>
        <v>0</v>
      </c>
      <c r="H120" s="170">
        <v>0</v>
      </c>
      <c r="I120" s="69">
        <f t="shared" si="34"/>
        <v>0</v>
      </c>
      <c r="J120" s="53">
        <f t="shared" si="35"/>
        <v>0</v>
      </c>
      <c r="K120" s="53">
        <f t="shared" si="37"/>
        <v>0</v>
      </c>
      <c r="L120" s="200"/>
      <c r="M120" s="200"/>
      <c r="N120" s="53">
        <f t="shared" si="36"/>
        <v>0</v>
      </c>
    </row>
    <row r="121" spans="1:14" x14ac:dyDescent="0.3">
      <c r="A121" s="56" t="s">
        <v>962</v>
      </c>
      <c r="B121" s="56" t="s">
        <v>961</v>
      </c>
      <c r="C121" s="54">
        <v>50000</v>
      </c>
      <c r="D121" s="54"/>
      <c r="E121" s="54">
        <f t="shared" si="32"/>
        <v>50000</v>
      </c>
      <c r="F121" s="54"/>
      <c r="G121" s="53">
        <f t="shared" si="33"/>
        <v>50000</v>
      </c>
      <c r="H121" s="170">
        <v>-50000</v>
      </c>
      <c r="I121" s="69">
        <f t="shared" si="34"/>
        <v>0</v>
      </c>
      <c r="J121" s="53">
        <f t="shared" si="35"/>
        <v>52300</v>
      </c>
      <c r="K121" s="53">
        <f t="shared" si="37"/>
        <v>54705.8</v>
      </c>
      <c r="L121" s="200"/>
      <c r="M121" s="200"/>
      <c r="N121" s="53">
        <f t="shared" si="36"/>
        <v>0</v>
      </c>
    </row>
    <row r="122" spans="1:14" x14ac:dyDescent="0.3">
      <c r="A122" s="56"/>
      <c r="B122" s="56"/>
      <c r="C122" s="54"/>
      <c r="D122" s="54"/>
      <c r="E122" s="54">
        <f t="shared" si="32"/>
        <v>0</v>
      </c>
      <c r="F122" s="54"/>
      <c r="G122" s="53">
        <f t="shared" si="33"/>
        <v>0</v>
      </c>
      <c r="H122" s="170"/>
      <c r="I122" s="69">
        <f t="shared" si="34"/>
        <v>0</v>
      </c>
      <c r="J122" s="53">
        <f t="shared" si="35"/>
        <v>0</v>
      </c>
      <c r="K122" s="53">
        <f t="shared" si="37"/>
        <v>0</v>
      </c>
      <c r="L122" s="200"/>
      <c r="M122" s="200"/>
      <c r="N122" s="53">
        <f t="shared" si="36"/>
        <v>0</v>
      </c>
    </row>
    <row r="123" spans="1:14" x14ac:dyDescent="0.3">
      <c r="A123" s="56" t="s">
        <v>965</v>
      </c>
      <c r="B123" s="56" t="s">
        <v>767</v>
      </c>
      <c r="C123" s="54">
        <v>100000</v>
      </c>
      <c r="D123" s="54"/>
      <c r="E123" s="54">
        <f t="shared" si="32"/>
        <v>100000</v>
      </c>
      <c r="F123" s="54"/>
      <c r="G123" s="53">
        <f t="shared" si="33"/>
        <v>100000</v>
      </c>
      <c r="H123" s="170">
        <v>200000</v>
      </c>
      <c r="I123" s="69">
        <f t="shared" si="34"/>
        <v>300000</v>
      </c>
      <c r="J123" s="53">
        <f t="shared" si="35"/>
        <v>104600</v>
      </c>
      <c r="K123" s="53">
        <f t="shared" si="37"/>
        <v>109411.6</v>
      </c>
      <c r="L123" s="200">
        <v>69090</v>
      </c>
      <c r="M123" s="200"/>
      <c r="N123" s="53">
        <f t="shared" si="36"/>
        <v>230910</v>
      </c>
    </row>
    <row r="124" spans="1:14" x14ac:dyDescent="0.3">
      <c r="A124" s="56"/>
      <c r="B124" s="56"/>
      <c r="C124" s="54"/>
      <c r="D124" s="54"/>
      <c r="E124" s="54">
        <f t="shared" si="32"/>
        <v>0</v>
      </c>
      <c r="F124" s="54"/>
      <c r="G124" s="53">
        <f t="shared" si="33"/>
        <v>0</v>
      </c>
      <c r="H124" s="170"/>
      <c r="I124" s="69">
        <f t="shared" si="34"/>
        <v>0</v>
      </c>
      <c r="J124" s="53">
        <f t="shared" si="35"/>
        <v>0</v>
      </c>
      <c r="K124" s="53">
        <f t="shared" si="37"/>
        <v>0</v>
      </c>
      <c r="L124" s="200"/>
      <c r="M124" s="200"/>
      <c r="N124" s="53">
        <f t="shared" si="36"/>
        <v>0</v>
      </c>
    </row>
    <row r="125" spans="1:14" x14ac:dyDescent="0.3">
      <c r="A125" s="56"/>
      <c r="B125" s="55" t="s">
        <v>768</v>
      </c>
      <c r="C125" s="54"/>
      <c r="D125" s="54"/>
      <c r="E125" s="54">
        <f t="shared" si="32"/>
        <v>0</v>
      </c>
      <c r="F125" s="54"/>
      <c r="G125" s="53">
        <f t="shared" si="33"/>
        <v>0</v>
      </c>
      <c r="H125" s="170"/>
      <c r="I125" s="69">
        <f t="shared" si="34"/>
        <v>0</v>
      </c>
      <c r="J125" s="53">
        <f t="shared" si="35"/>
        <v>0</v>
      </c>
      <c r="K125" s="53">
        <f t="shared" si="37"/>
        <v>0</v>
      </c>
      <c r="L125" s="200"/>
      <c r="M125" s="200"/>
      <c r="N125" s="53">
        <f t="shared" si="36"/>
        <v>0</v>
      </c>
    </row>
    <row r="126" spans="1:14" x14ac:dyDescent="0.3">
      <c r="A126" s="56"/>
      <c r="B126" s="55" t="s">
        <v>769</v>
      </c>
      <c r="C126" s="54"/>
      <c r="D126" s="54"/>
      <c r="E126" s="54">
        <f t="shared" si="32"/>
        <v>0</v>
      </c>
      <c r="F126" s="54"/>
      <c r="G126" s="53">
        <f t="shared" si="33"/>
        <v>0</v>
      </c>
      <c r="H126" s="170"/>
      <c r="I126" s="69">
        <f t="shared" si="34"/>
        <v>0</v>
      </c>
      <c r="J126" s="53">
        <f t="shared" si="35"/>
        <v>0</v>
      </c>
      <c r="K126" s="53">
        <f t="shared" si="37"/>
        <v>0</v>
      </c>
      <c r="L126" s="200"/>
      <c r="M126" s="200"/>
      <c r="N126" s="53">
        <f t="shared" si="36"/>
        <v>0</v>
      </c>
    </row>
    <row r="127" spans="1:14" x14ac:dyDescent="0.3">
      <c r="A127" s="56" t="s">
        <v>968</v>
      </c>
      <c r="B127" s="56" t="s">
        <v>964</v>
      </c>
      <c r="C127" s="54">
        <v>400000</v>
      </c>
      <c r="D127" s="54"/>
      <c r="E127" s="54">
        <f t="shared" si="32"/>
        <v>400000</v>
      </c>
      <c r="F127" s="54"/>
      <c r="G127" s="53">
        <f t="shared" si="33"/>
        <v>400000</v>
      </c>
      <c r="H127" s="170"/>
      <c r="I127" s="69">
        <f t="shared" si="34"/>
        <v>400000</v>
      </c>
      <c r="J127" s="53">
        <f t="shared" si="35"/>
        <v>418400</v>
      </c>
      <c r="K127" s="53">
        <f t="shared" si="37"/>
        <v>437646.4</v>
      </c>
      <c r="L127" s="200">
        <v>344925</v>
      </c>
      <c r="M127" s="200"/>
      <c r="N127" s="53">
        <f t="shared" si="36"/>
        <v>55075</v>
      </c>
    </row>
    <row r="128" spans="1:14" x14ac:dyDescent="0.3">
      <c r="A128" s="56" t="s">
        <v>967</v>
      </c>
      <c r="B128" s="56" t="s">
        <v>770</v>
      </c>
      <c r="C128" s="54">
        <v>70000</v>
      </c>
      <c r="D128" s="54"/>
      <c r="E128" s="54">
        <f t="shared" si="32"/>
        <v>70000</v>
      </c>
      <c r="F128" s="54"/>
      <c r="G128" s="53">
        <f t="shared" si="33"/>
        <v>70000</v>
      </c>
      <c r="H128" s="170">
        <v>-13500</v>
      </c>
      <c r="I128" s="69">
        <f t="shared" si="34"/>
        <v>56500</v>
      </c>
      <c r="J128" s="53">
        <f t="shared" si="35"/>
        <v>73220</v>
      </c>
      <c r="K128" s="53">
        <f t="shared" si="37"/>
        <v>76588.12000000001</v>
      </c>
      <c r="L128" s="200">
        <v>56500</v>
      </c>
      <c r="M128" s="200"/>
      <c r="N128" s="53">
        <f t="shared" si="36"/>
        <v>0</v>
      </c>
    </row>
    <row r="129" spans="1:14" x14ac:dyDescent="0.3">
      <c r="A129" s="56" t="s">
        <v>966</v>
      </c>
      <c r="B129" s="56" t="s">
        <v>771</v>
      </c>
      <c r="C129" s="54">
        <v>30000</v>
      </c>
      <c r="D129" s="54"/>
      <c r="E129" s="54">
        <f t="shared" si="32"/>
        <v>30000</v>
      </c>
      <c r="F129" s="54"/>
      <c r="G129" s="53">
        <f t="shared" si="33"/>
        <v>30000</v>
      </c>
      <c r="H129" s="170">
        <v>4725</v>
      </c>
      <c r="I129" s="69">
        <f t="shared" si="34"/>
        <v>34725</v>
      </c>
      <c r="J129" s="53">
        <f t="shared" si="35"/>
        <v>31380</v>
      </c>
      <c r="K129" s="53">
        <f t="shared" si="37"/>
        <v>32823.480000000003</v>
      </c>
      <c r="L129" s="200">
        <v>34725</v>
      </c>
      <c r="M129" s="200"/>
      <c r="N129" s="53">
        <f t="shared" si="36"/>
        <v>0</v>
      </c>
    </row>
    <row r="130" spans="1:14" x14ac:dyDescent="0.3">
      <c r="A130" s="56"/>
      <c r="B130" s="55" t="s">
        <v>963</v>
      </c>
      <c r="C130" s="54"/>
      <c r="D130" s="54"/>
      <c r="E130" s="54">
        <f t="shared" si="32"/>
        <v>0</v>
      </c>
      <c r="F130" s="54"/>
      <c r="G130" s="53">
        <f t="shared" si="33"/>
        <v>0</v>
      </c>
      <c r="H130" s="170">
        <v>0</v>
      </c>
      <c r="I130" s="69">
        <f t="shared" si="34"/>
        <v>0</v>
      </c>
      <c r="J130" s="53">
        <f t="shared" si="35"/>
        <v>0</v>
      </c>
      <c r="K130" s="53">
        <f t="shared" si="37"/>
        <v>0</v>
      </c>
      <c r="L130" s="200"/>
      <c r="M130" s="200"/>
      <c r="N130" s="53">
        <f t="shared" si="36"/>
        <v>0</v>
      </c>
    </row>
    <row r="131" spans="1:14" x14ac:dyDescent="0.3">
      <c r="A131" s="56" t="s">
        <v>970</v>
      </c>
      <c r="B131" s="56" t="s">
        <v>772</v>
      </c>
      <c r="C131" s="54">
        <v>70000</v>
      </c>
      <c r="D131" s="54"/>
      <c r="E131" s="54">
        <f t="shared" si="32"/>
        <v>70000</v>
      </c>
      <c r="F131" s="54"/>
      <c r="G131" s="53">
        <f t="shared" si="33"/>
        <v>70000</v>
      </c>
      <c r="H131" s="170">
        <v>-52000</v>
      </c>
      <c r="I131" s="69">
        <f t="shared" si="34"/>
        <v>18000</v>
      </c>
      <c r="J131" s="53">
        <f t="shared" si="35"/>
        <v>73220</v>
      </c>
      <c r="K131" s="53">
        <f t="shared" si="37"/>
        <v>76588.12000000001</v>
      </c>
      <c r="L131" s="200">
        <v>18000</v>
      </c>
      <c r="M131" s="200"/>
      <c r="N131" s="53">
        <f t="shared" si="36"/>
        <v>0</v>
      </c>
    </row>
    <row r="132" spans="1:14" x14ac:dyDescent="0.3">
      <c r="A132" s="56" t="s">
        <v>971</v>
      </c>
      <c r="B132" s="56" t="s">
        <v>773</v>
      </c>
      <c r="C132" s="54">
        <v>20000</v>
      </c>
      <c r="D132" s="54"/>
      <c r="E132" s="54">
        <f t="shared" si="32"/>
        <v>20000</v>
      </c>
      <c r="F132" s="54"/>
      <c r="G132" s="53">
        <f t="shared" si="33"/>
        <v>20000</v>
      </c>
      <c r="H132" s="170">
        <v>1680</v>
      </c>
      <c r="I132" s="69">
        <f t="shared" si="34"/>
        <v>21680</v>
      </c>
      <c r="J132" s="53">
        <f t="shared" si="35"/>
        <v>20920</v>
      </c>
      <c r="K132" s="53">
        <f t="shared" si="37"/>
        <v>21882.32</v>
      </c>
      <c r="L132" s="200">
        <v>21680</v>
      </c>
      <c r="M132" s="200"/>
      <c r="N132" s="53">
        <f t="shared" si="36"/>
        <v>0</v>
      </c>
    </row>
    <row r="133" spans="1:14" x14ac:dyDescent="0.3">
      <c r="A133" s="56" t="s">
        <v>969</v>
      </c>
      <c r="B133" s="56" t="s">
        <v>774</v>
      </c>
      <c r="C133" s="54">
        <v>50000</v>
      </c>
      <c r="D133" s="54"/>
      <c r="E133" s="54">
        <f t="shared" si="32"/>
        <v>50000</v>
      </c>
      <c r="F133" s="54"/>
      <c r="G133" s="53">
        <f t="shared" si="33"/>
        <v>50000</v>
      </c>
      <c r="H133" s="170">
        <v>-5200</v>
      </c>
      <c r="I133" s="69">
        <f t="shared" si="34"/>
        <v>44800</v>
      </c>
      <c r="J133" s="53">
        <f t="shared" si="35"/>
        <v>52300</v>
      </c>
      <c r="K133" s="53">
        <f t="shared" si="37"/>
        <v>54705.8</v>
      </c>
      <c r="L133" s="200">
        <v>44800</v>
      </c>
      <c r="M133" s="200"/>
      <c r="N133" s="53">
        <f t="shared" si="36"/>
        <v>0</v>
      </c>
    </row>
    <row r="134" spans="1:14" x14ac:dyDescent="0.3">
      <c r="A134" s="56" t="s">
        <v>972</v>
      </c>
      <c r="B134" s="56" t="s">
        <v>775</v>
      </c>
      <c r="C134" s="54">
        <v>15000</v>
      </c>
      <c r="D134" s="54"/>
      <c r="E134" s="54">
        <f t="shared" si="32"/>
        <v>15000</v>
      </c>
      <c r="F134" s="54"/>
      <c r="G134" s="53">
        <f t="shared" si="33"/>
        <v>15000</v>
      </c>
      <c r="H134" s="170">
        <v>-500</v>
      </c>
      <c r="I134" s="69">
        <f t="shared" si="34"/>
        <v>14500</v>
      </c>
      <c r="J134" s="53">
        <f t="shared" si="35"/>
        <v>15690</v>
      </c>
      <c r="K134" s="53">
        <f t="shared" si="37"/>
        <v>16411.740000000002</v>
      </c>
      <c r="L134" s="200">
        <v>14500</v>
      </c>
      <c r="M134" s="200"/>
      <c r="N134" s="53">
        <f t="shared" si="36"/>
        <v>0</v>
      </c>
    </row>
    <row r="135" spans="1:14" x14ac:dyDescent="0.3">
      <c r="A135" s="56" t="s">
        <v>973</v>
      </c>
      <c r="B135" s="56" t="s">
        <v>776</v>
      </c>
      <c r="C135" s="54">
        <v>5000</v>
      </c>
      <c r="D135" s="54"/>
      <c r="E135" s="54">
        <f t="shared" si="32"/>
        <v>5000</v>
      </c>
      <c r="F135" s="54"/>
      <c r="G135" s="53">
        <f t="shared" si="33"/>
        <v>5000</v>
      </c>
      <c r="H135" s="170">
        <v>-5000</v>
      </c>
      <c r="I135" s="69">
        <f t="shared" si="34"/>
        <v>0</v>
      </c>
      <c r="J135" s="53">
        <f t="shared" si="35"/>
        <v>5230</v>
      </c>
      <c r="K135" s="53">
        <f t="shared" si="37"/>
        <v>5470.58</v>
      </c>
      <c r="L135" s="200">
        <v>0</v>
      </c>
      <c r="M135" s="200"/>
      <c r="N135" s="53">
        <f t="shared" si="36"/>
        <v>0</v>
      </c>
    </row>
    <row r="136" spans="1:14" ht="16.5" customHeight="1" x14ac:dyDescent="0.3">
      <c r="A136" s="56" t="s">
        <v>974</v>
      </c>
      <c r="B136" s="56" t="s">
        <v>777</v>
      </c>
      <c r="C136" s="54">
        <v>30000</v>
      </c>
      <c r="D136" s="54"/>
      <c r="E136" s="54">
        <f t="shared" si="32"/>
        <v>30000</v>
      </c>
      <c r="F136" s="54"/>
      <c r="G136" s="53">
        <f t="shared" si="33"/>
        <v>30000</v>
      </c>
      <c r="H136" s="170">
        <v>-19873</v>
      </c>
      <c r="I136" s="69">
        <f t="shared" si="34"/>
        <v>10127</v>
      </c>
      <c r="J136" s="53">
        <f t="shared" si="35"/>
        <v>31380</v>
      </c>
      <c r="K136" s="53">
        <f t="shared" si="37"/>
        <v>32823.480000000003</v>
      </c>
      <c r="L136" s="200">
        <v>10127</v>
      </c>
      <c r="M136" s="200"/>
      <c r="N136" s="53">
        <f t="shared" si="36"/>
        <v>0</v>
      </c>
    </row>
    <row r="137" spans="1:14" x14ac:dyDescent="0.3">
      <c r="A137" s="56"/>
      <c r="B137" s="55" t="s">
        <v>976</v>
      </c>
      <c r="C137" s="54"/>
      <c r="D137" s="54"/>
      <c r="E137" s="54">
        <f t="shared" si="32"/>
        <v>0</v>
      </c>
      <c r="F137" s="54"/>
      <c r="G137" s="53">
        <f t="shared" si="33"/>
        <v>0</v>
      </c>
      <c r="H137" s="170">
        <v>0</v>
      </c>
      <c r="I137" s="69">
        <f t="shared" si="34"/>
        <v>0</v>
      </c>
      <c r="J137" s="53">
        <f t="shared" si="35"/>
        <v>0</v>
      </c>
      <c r="K137" s="53">
        <f t="shared" si="37"/>
        <v>0</v>
      </c>
      <c r="L137" s="200"/>
      <c r="M137" s="200"/>
      <c r="N137" s="53">
        <f t="shared" si="36"/>
        <v>0</v>
      </c>
    </row>
    <row r="138" spans="1:14" x14ac:dyDescent="0.3">
      <c r="A138" s="56" t="s">
        <v>978</v>
      </c>
      <c r="B138" s="56" t="s">
        <v>778</v>
      </c>
      <c r="C138" s="54">
        <v>100000</v>
      </c>
      <c r="D138" s="54"/>
      <c r="E138" s="54">
        <f t="shared" si="32"/>
        <v>100000</v>
      </c>
      <c r="F138" s="54"/>
      <c r="G138" s="53">
        <f t="shared" si="33"/>
        <v>100000</v>
      </c>
      <c r="H138" s="170">
        <v>-100000</v>
      </c>
      <c r="I138" s="69">
        <f t="shared" si="34"/>
        <v>0</v>
      </c>
      <c r="J138" s="53">
        <f t="shared" si="35"/>
        <v>104600</v>
      </c>
      <c r="K138" s="53">
        <f t="shared" si="37"/>
        <v>109411.6</v>
      </c>
      <c r="L138" s="200"/>
      <c r="M138" s="200"/>
      <c r="N138" s="53">
        <f t="shared" si="36"/>
        <v>0</v>
      </c>
    </row>
    <row r="139" spans="1:14" x14ac:dyDescent="0.3">
      <c r="A139" s="56" t="s">
        <v>979</v>
      </c>
      <c r="B139" s="56" t="s">
        <v>779</v>
      </c>
      <c r="C139" s="54">
        <v>85000</v>
      </c>
      <c r="D139" s="54"/>
      <c r="E139" s="54">
        <f t="shared" si="32"/>
        <v>85000</v>
      </c>
      <c r="F139" s="54"/>
      <c r="G139" s="53">
        <f t="shared" si="33"/>
        <v>85000</v>
      </c>
      <c r="H139" s="170">
        <v>-85000</v>
      </c>
      <c r="I139" s="69">
        <f t="shared" si="34"/>
        <v>0</v>
      </c>
      <c r="J139" s="53">
        <f t="shared" si="35"/>
        <v>88910</v>
      </c>
      <c r="K139" s="53">
        <f t="shared" si="37"/>
        <v>92999.86</v>
      </c>
      <c r="L139" s="200"/>
      <c r="M139" s="200"/>
      <c r="N139" s="53">
        <f t="shared" si="36"/>
        <v>0</v>
      </c>
    </row>
    <row r="140" spans="1:14" x14ac:dyDescent="0.3">
      <c r="A140" s="56" t="s">
        <v>977</v>
      </c>
      <c r="B140" s="56" t="s">
        <v>975</v>
      </c>
      <c r="C140" s="54">
        <v>400000</v>
      </c>
      <c r="D140" s="54"/>
      <c r="E140" s="54">
        <f t="shared" si="32"/>
        <v>400000</v>
      </c>
      <c r="F140" s="54"/>
      <c r="G140" s="53">
        <f t="shared" si="33"/>
        <v>400000</v>
      </c>
      <c r="H140" s="170"/>
      <c r="I140" s="69">
        <f t="shared" si="34"/>
        <v>400000</v>
      </c>
      <c r="J140" s="53">
        <f t="shared" si="35"/>
        <v>418400</v>
      </c>
      <c r="K140" s="53">
        <f t="shared" si="37"/>
        <v>437646.4</v>
      </c>
      <c r="L140" s="200">
        <v>138000</v>
      </c>
      <c r="M140" s="200"/>
      <c r="N140" s="53">
        <f t="shared" si="36"/>
        <v>262000</v>
      </c>
    </row>
    <row r="141" spans="1:14" x14ac:dyDescent="0.3">
      <c r="A141" s="56"/>
      <c r="B141" s="56"/>
      <c r="C141" s="54"/>
      <c r="D141" s="54"/>
      <c r="E141" s="54">
        <f t="shared" si="32"/>
        <v>0</v>
      </c>
      <c r="F141" s="54"/>
      <c r="G141" s="53">
        <f t="shared" si="33"/>
        <v>0</v>
      </c>
      <c r="H141" s="170"/>
      <c r="I141" s="69">
        <f t="shared" si="34"/>
        <v>0</v>
      </c>
      <c r="J141" s="53">
        <f t="shared" si="35"/>
        <v>0</v>
      </c>
      <c r="K141" s="53">
        <f t="shared" si="37"/>
        <v>0</v>
      </c>
      <c r="L141" s="200"/>
      <c r="M141" s="200"/>
      <c r="N141" s="53">
        <f t="shared" si="36"/>
        <v>0</v>
      </c>
    </row>
    <row r="142" spans="1:14" x14ac:dyDescent="0.3">
      <c r="A142" s="56"/>
      <c r="B142" s="55" t="s">
        <v>780</v>
      </c>
      <c r="C142" s="54"/>
      <c r="D142" s="54"/>
      <c r="E142" s="54">
        <f t="shared" si="32"/>
        <v>0</v>
      </c>
      <c r="F142" s="54"/>
      <c r="G142" s="53">
        <f t="shared" si="33"/>
        <v>0</v>
      </c>
      <c r="H142" s="170"/>
      <c r="I142" s="69">
        <f t="shared" si="34"/>
        <v>0</v>
      </c>
      <c r="J142" s="53">
        <f t="shared" si="35"/>
        <v>0</v>
      </c>
      <c r="K142" s="53">
        <f t="shared" si="37"/>
        <v>0</v>
      </c>
      <c r="L142" s="200"/>
      <c r="M142" s="200"/>
      <c r="N142" s="53">
        <f t="shared" si="36"/>
        <v>0</v>
      </c>
    </row>
    <row r="143" spans="1:14" x14ac:dyDescent="0.3">
      <c r="A143" s="56" t="s">
        <v>1328</v>
      </c>
      <c r="B143" s="56" t="s">
        <v>988</v>
      </c>
      <c r="C143" s="54">
        <f>30000+30000</f>
        <v>60000</v>
      </c>
      <c r="D143" s="54"/>
      <c r="E143" s="54">
        <f t="shared" si="32"/>
        <v>60000</v>
      </c>
      <c r="F143" s="54"/>
      <c r="G143" s="53">
        <f t="shared" si="33"/>
        <v>60000</v>
      </c>
      <c r="H143" s="170">
        <v>-555</v>
      </c>
      <c r="I143" s="69">
        <f t="shared" si="34"/>
        <v>59445</v>
      </c>
      <c r="J143" s="53">
        <f t="shared" si="35"/>
        <v>62760</v>
      </c>
      <c r="K143" s="53">
        <f t="shared" si="37"/>
        <v>65646.960000000006</v>
      </c>
      <c r="L143" s="200">
        <v>59445</v>
      </c>
      <c r="M143" s="200"/>
      <c r="N143" s="53">
        <f t="shared" si="36"/>
        <v>0</v>
      </c>
    </row>
    <row r="144" spans="1:14" x14ac:dyDescent="0.3">
      <c r="A144" s="56" t="s">
        <v>989</v>
      </c>
      <c r="B144" s="56" t="s">
        <v>980</v>
      </c>
      <c r="C144" s="54">
        <v>70000</v>
      </c>
      <c r="D144" s="54"/>
      <c r="E144" s="54">
        <f t="shared" si="32"/>
        <v>70000</v>
      </c>
      <c r="F144" s="54"/>
      <c r="G144" s="53">
        <f t="shared" si="33"/>
        <v>70000</v>
      </c>
      <c r="H144" s="170">
        <v>-10300</v>
      </c>
      <c r="I144" s="69">
        <f t="shared" ref="I144:I157" si="38">G144+H144</f>
        <v>59700</v>
      </c>
      <c r="J144" s="53">
        <f t="shared" ref="J144:J156" si="39">C144*104.6%</f>
        <v>73220</v>
      </c>
      <c r="K144" s="53">
        <f t="shared" si="37"/>
        <v>76588.12000000001</v>
      </c>
      <c r="L144" s="200">
        <v>59700</v>
      </c>
      <c r="M144" s="200"/>
      <c r="N144" s="53">
        <f t="shared" si="36"/>
        <v>0</v>
      </c>
    </row>
    <row r="145" spans="1:14" x14ac:dyDescent="0.3">
      <c r="A145" s="56" t="s">
        <v>987</v>
      </c>
      <c r="B145" s="56" t="s">
        <v>981</v>
      </c>
      <c r="C145" s="54">
        <v>65000</v>
      </c>
      <c r="D145" s="54"/>
      <c r="E145" s="54">
        <f t="shared" ref="E145:E208" si="40">C145+D145</f>
        <v>65000</v>
      </c>
      <c r="F145" s="54"/>
      <c r="G145" s="53">
        <f t="shared" si="33"/>
        <v>65000</v>
      </c>
      <c r="H145" s="170">
        <v>-3600</v>
      </c>
      <c r="I145" s="69">
        <f t="shared" si="38"/>
        <v>61400</v>
      </c>
      <c r="J145" s="53">
        <f t="shared" si="39"/>
        <v>67990</v>
      </c>
      <c r="K145" s="53">
        <f t="shared" si="37"/>
        <v>71117.540000000008</v>
      </c>
      <c r="L145" s="200">
        <v>61400</v>
      </c>
      <c r="M145" s="200"/>
      <c r="N145" s="53">
        <f t="shared" si="36"/>
        <v>0</v>
      </c>
    </row>
    <row r="146" spans="1:14" x14ac:dyDescent="0.3">
      <c r="A146" s="56" t="s">
        <v>990</v>
      </c>
      <c r="B146" s="56" t="s">
        <v>982</v>
      </c>
      <c r="C146" s="54">
        <v>20000</v>
      </c>
      <c r="D146" s="54"/>
      <c r="E146" s="54">
        <f t="shared" si="40"/>
        <v>20000</v>
      </c>
      <c r="F146" s="54"/>
      <c r="G146" s="53">
        <f t="shared" si="33"/>
        <v>20000</v>
      </c>
      <c r="H146" s="170">
        <v>-500</v>
      </c>
      <c r="I146" s="69">
        <f t="shared" si="38"/>
        <v>19500</v>
      </c>
      <c r="J146" s="53">
        <f t="shared" si="39"/>
        <v>20920</v>
      </c>
      <c r="K146" s="53">
        <f t="shared" si="37"/>
        <v>21882.32</v>
      </c>
      <c r="L146" s="200">
        <v>19500</v>
      </c>
      <c r="M146" s="200"/>
      <c r="N146" s="53">
        <f t="shared" si="36"/>
        <v>0</v>
      </c>
    </row>
    <row r="147" spans="1:14" x14ac:dyDescent="0.3">
      <c r="A147" s="56" t="s">
        <v>991</v>
      </c>
      <c r="B147" s="56" t="s">
        <v>983</v>
      </c>
      <c r="C147" s="54">
        <v>10000</v>
      </c>
      <c r="D147" s="54"/>
      <c r="E147" s="54">
        <f t="shared" si="40"/>
        <v>10000</v>
      </c>
      <c r="F147" s="54"/>
      <c r="G147" s="53">
        <f t="shared" si="33"/>
        <v>10000</v>
      </c>
      <c r="H147" s="170">
        <v>-2173.91</v>
      </c>
      <c r="I147" s="69">
        <f t="shared" si="38"/>
        <v>7826.09</v>
      </c>
      <c r="J147" s="53">
        <f t="shared" si="39"/>
        <v>10460</v>
      </c>
      <c r="K147" s="53">
        <f t="shared" si="37"/>
        <v>10941.16</v>
      </c>
      <c r="L147" s="200">
        <v>0</v>
      </c>
      <c r="M147" s="200">
        <v>7826.09</v>
      </c>
      <c r="N147" s="53">
        <f t="shared" si="36"/>
        <v>0</v>
      </c>
    </row>
    <row r="148" spans="1:14" x14ac:dyDescent="0.3">
      <c r="A148" s="56" t="s">
        <v>992</v>
      </c>
      <c r="B148" s="56" t="s">
        <v>984</v>
      </c>
      <c r="C148" s="54">
        <v>80000</v>
      </c>
      <c r="D148" s="54"/>
      <c r="E148" s="54">
        <f t="shared" si="40"/>
        <v>80000</v>
      </c>
      <c r="F148" s="54"/>
      <c r="G148" s="53">
        <f t="shared" si="33"/>
        <v>80000</v>
      </c>
      <c r="H148" s="170">
        <v>5000</v>
      </c>
      <c r="I148" s="69">
        <f t="shared" si="38"/>
        <v>85000</v>
      </c>
      <c r="J148" s="53">
        <f t="shared" si="39"/>
        <v>83680</v>
      </c>
      <c r="K148" s="53">
        <f t="shared" si="37"/>
        <v>87529.279999999999</v>
      </c>
      <c r="L148" s="200">
        <v>85000</v>
      </c>
      <c r="M148" s="200"/>
      <c r="N148" s="53">
        <f t="shared" si="36"/>
        <v>0</v>
      </c>
    </row>
    <row r="149" spans="1:14" x14ac:dyDescent="0.3">
      <c r="A149" s="52" t="s">
        <v>993</v>
      </c>
      <c r="B149" s="52" t="s">
        <v>985</v>
      </c>
      <c r="C149" s="54">
        <v>30000</v>
      </c>
      <c r="D149" s="54"/>
      <c r="E149" s="54">
        <f t="shared" si="40"/>
        <v>30000</v>
      </c>
      <c r="F149" s="54"/>
      <c r="G149" s="53">
        <f t="shared" si="33"/>
        <v>30000</v>
      </c>
      <c r="H149" s="170">
        <v>-1450</v>
      </c>
      <c r="I149" s="69">
        <f t="shared" si="38"/>
        <v>28550</v>
      </c>
      <c r="J149" s="53">
        <f t="shared" si="39"/>
        <v>31380</v>
      </c>
      <c r="K149" s="53">
        <f t="shared" si="37"/>
        <v>32823.480000000003</v>
      </c>
      <c r="L149" s="200">
        <v>28550</v>
      </c>
      <c r="M149" s="200"/>
      <c r="N149" s="53">
        <f t="shared" si="36"/>
        <v>0</v>
      </c>
    </row>
    <row r="150" spans="1:14" x14ac:dyDescent="0.3">
      <c r="A150" s="52" t="s">
        <v>994</v>
      </c>
      <c r="B150" s="52" t="s">
        <v>986</v>
      </c>
      <c r="C150" s="54">
        <v>70000</v>
      </c>
      <c r="D150" s="54"/>
      <c r="E150" s="54">
        <f t="shared" si="40"/>
        <v>70000</v>
      </c>
      <c r="F150" s="54"/>
      <c r="G150" s="53">
        <f t="shared" si="33"/>
        <v>70000</v>
      </c>
      <c r="H150" s="170"/>
      <c r="I150" s="69">
        <f t="shared" si="38"/>
        <v>70000</v>
      </c>
      <c r="J150" s="53">
        <f t="shared" si="39"/>
        <v>73220</v>
      </c>
      <c r="K150" s="53">
        <f t="shared" si="37"/>
        <v>76588.12000000001</v>
      </c>
      <c r="L150" s="200"/>
      <c r="M150" s="200"/>
      <c r="N150" s="53">
        <f t="shared" si="36"/>
        <v>70000</v>
      </c>
    </row>
    <row r="151" spans="1:14" x14ac:dyDescent="0.3">
      <c r="A151" s="52"/>
      <c r="B151" s="52"/>
      <c r="C151" s="54"/>
      <c r="D151" s="54"/>
      <c r="E151" s="54">
        <f t="shared" si="40"/>
        <v>0</v>
      </c>
      <c r="F151" s="54"/>
      <c r="G151" s="53">
        <f t="shared" si="33"/>
        <v>0</v>
      </c>
      <c r="H151" s="170">
        <v>0</v>
      </c>
      <c r="I151" s="69">
        <f t="shared" si="38"/>
        <v>0</v>
      </c>
      <c r="J151" s="53">
        <f t="shared" si="39"/>
        <v>0</v>
      </c>
      <c r="K151" s="53">
        <f t="shared" si="37"/>
        <v>0</v>
      </c>
      <c r="L151" s="200"/>
      <c r="M151" s="200"/>
      <c r="N151" s="53">
        <f t="shared" si="36"/>
        <v>0</v>
      </c>
    </row>
    <row r="152" spans="1:14" x14ac:dyDescent="0.3">
      <c r="A152" s="52"/>
      <c r="B152" s="51" t="s">
        <v>781</v>
      </c>
      <c r="C152" s="54"/>
      <c r="D152" s="54"/>
      <c r="E152" s="54">
        <f t="shared" si="40"/>
        <v>0</v>
      </c>
      <c r="F152" s="54"/>
      <c r="G152" s="53">
        <f t="shared" si="33"/>
        <v>0</v>
      </c>
      <c r="H152" s="170">
        <v>0</v>
      </c>
      <c r="I152" s="69">
        <f t="shared" si="38"/>
        <v>0</v>
      </c>
      <c r="J152" s="53">
        <f t="shared" si="39"/>
        <v>0</v>
      </c>
      <c r="K152" s="53">
        <f t="shared" si="37"/>
        <v>0</v>
      </c>
      <c r="L152" s="200"/>
      <c r="M152" s="200"/>
      <c r="N152" s="53">
        <f t="shared" si="36"/>
        <v>0</v>
      </c>
    </row>
    <row r="153" spans="1:14" x14ac:dyDescent="0.3">
      <c r="A153" s="52" t="s">
        <v>995</v>
      </c>
      <c r="B153" s="52" t="s">
        <v>782</v>
      </c>
      <c r="C153" s="54">
        <v>50000</v>
      </c>
      <c r="D153" s="54"/>
      <c r="E153" s="54">
        <f t="shared" si="40"/>
        <v>50000</v>
      </c>
      <c r="F153" s="54"/>
      <c r="G153" s="53">
        <f t="shared" si="33"/>
        <v>50000</v>
      </c>
      <c r="H153" s="170">
        <v>-7000</v>
      </c>
      <c r="I153" s="69">
        <f t="shared" si="38"/>
        <v>43000</v>
      </c>
      <c r="J153" s="53">
        <f t="shared" si="39"/>
        <v>52300</v>
      </c>
      <c r="K153" s="53">
        <f t="shared" si="37"/>
        <v>54705.8</v>
      </c>
      <c r="L153" s="200">
        <v>43000</v>
      </c>
      <c r="M153" s="200"/>
      <c r="N153" s="53">
        <f t="shared" si="36"/>
        <v>0</v>
      </c>
    </row>
    <row r="154" spans="1:14" x14ac:dyDescent="0.3">
      <c r="A154" s="52" t="s">
        <v>996</v>
      </c>
      <c r="B154" s="52" t="s">
        <v>783</v>
      </c>
      <c r="C154" s="54">
        <v>60000</v>
      </c>
      <c r="D154" s="54"/>
      <c r="E154" s="54">
        <f t="shared" si="40"/>
        <v>60000</v>
      </c>
      <c r="F154" s="54"/>
      <c r="G154" s="53">
        <f t="shared" si="33"/>
        <v>60000</v>
      </c>
      <c r="H154" s="170">
        <v>-31000</v>
      </c>
      <c r="I154" s="69">
        <f t="shared" si="38"/>
        <v>29000</v>
      </c>
      <c r="J154" s="53">
        <f t="shared" si="39"/>
        <v>62760</v>
      </c>
      <c r="K154" s="53">
        <f t="shared" si="37"/>
        <v>65646.960000000006</v>
      </c>
      <c r="L154" s="200">
        <v>29000</v>
      </c>
      <c r="M154" s="200"/>
      <c r="N154" s="53">
        <f t="shared" si="36"/>
        <v>0</v>
      </c>
    </row>
    <row r="155" spans="1:14" x14ac:dyDescent="0.3">
      <c r="A155" s="56" t="s">
        <v>997</v>
      </c>
      <c r="B155" s="56" t="s">
        <v>784</v>
      </c>
      <c r="C155" s="68">
        <v>50000</v>
      </c>
      <c r="D155" s="68"/>
      <c r="E155" s="54">
        <f t="shared" si="40"/>
        <v>50000</v>
      </c>
      <c r="F155" s="68"/>
      <c r="G155" s="53">
        <f t="shared" si="33"/>
        <v>50000</v>
      </c>
      <c r="H155" s="173">
        <v>-308.67999999999302</v>
      </c>
      <c r="I155" s="69">
        <f t="shared" si="38"/>
        <v>49691.320000000007</v>
      </c>
      <c r="J155" s="69">
        <f t="shared" si="39"/>
        <v>52300</v>
      </c>
      <c r="K155" s="69">
        <f t="shared" si="37"/>
        <v>54705.8</v>
      </c>
      <c r="L155" s="200">
        <v>49691.32</v>
      </c>
      <c r="M155" s="200"/>
      <c r="N155" s="53">
        <f t="shared" si="36"/>
        <v>7.2759576141834259E-12</v>
      </c>
    </row>
    <row r="156" spans="1:14" x14ac:dyDescent="0.3">
      <c r="A156" s="52" t="s">
        <v>999</v>
      </c>
      <c r="B156" s="52" t="s">
        <v>998</v>
      </c>
      <c r="C156" s="115">
        <v>100000</v>
      </c>
      <c r="D156" s="115"/>
      <c r="E156" s="54">
        <f t="shared" si="40"/>
        <v>100000</v>
      </c>
      <c r="F156" s="54"/>
      <c r="G156" s="53">
        <f t="shared" si="33"/>
        <v>100000</v>
      </c>
      <c r="H156" s="170">
        <v>-100000</v>
      </c>
      <c r="I156" s="69">
        <f t="shared" si="38"/>
        <v>0</v>
      </c>
      <c r="J156" s="53">
        <f t="shared" si="39"/>
        <v>104600</v>
      </c>
      <c r="K156" s="53">
        <f t="shared" si="37"/>
        <v>109411.6</v>
      </c>
      <c r="L156" s="200"/>
      <c r="M156" s="200"/>
      <c r="N156" s="53">
        <f t="shared" si="36"/>
        <v>0</v>
      </c>
    </row>
    <row r="157" spans="1:14" ht="14.5" thickBot="1" x14ac:dyDescent="0.35">
      <c r="A157" s="73"/>
      <c r="B157" s="73"/>
      <c r="C157" s="68"/>
      <c r="D157" s="68"/>
      <c r="E157" s="54">
        <f t="shared" si="40"/>
        <v>0</v>
      </c>
      <c r="F157" s="68"/>
      <c r="G157" s="53">
        <f t="shared" si="33"/>
        <v>0</v>
      </c>
      <c r="H157" s="174"/>
      <c r="I157" s="69">
        <f t="shared" si="38"/>
        <v>0</v>
      </c>
      <c r="J157" s="79"/>
      <c r="K157" s="79"/>
      <c r="L157" s="200"/>
      <c r="M157" s="200"/>
      <c r="N157" s="53">
        <f t="shared" si="36"/>
        <v>0</v>
      </c>
    </row>
    <row r="158" spans="1:14" ht="14.5" thickBot="1" x14ac:dyDescent="0.35">
      <c r="A158" s="57" t="s">
        <v>678</v>
      </c>
      <c r="B158" s="57"/>
      <c r="C158" s="92">
        <f>SUM(C48:C156)</f>
        <v>3470000</v>
      </c>
      <c r="D158" s="92">
        <f t="shared" ref="D158:N158" si="41">SUM(D48:D156)</f>
        <v>0</v>
      </c>
      <c r="E158" s="92">
        <f t="shared" si="41"/>
        <v>3470000</v>
      </c>
      <c r="F158" s="92">
        <f t="shared" si="41"/>
        <v>0</v>
      </c>
      <c r="G158" s="92">
        <f t="shared" si="41"/>
        <v>3470000</v>
      </c>
      <c r="H158" s="181">
        <f t="shared" si="41"/>
        <v>-1147296.99</v>
      </c>
      <c r="I158" s="92">
        <f t="shared" si="41"/>
        <v>2322703.0100000002</v>
      </c>
      <c r="J158" s="92">
        <f t="shared" si="41"/>
        <v>3629620</v>
      </c>
      <c r="K158" s="92">
        <f t="shared" si="41"/>
        <v>3796582.5199999996</v>
      </c>
      <c r="L158" s="92">
        <f t="shared" si="41"/>
        <v>1543891.9200000002</v>
      </c>
      <c r="M158" s="92">
        <f t="shared" si="41"/>
        <v>10826.09</v>
      </c>
      <c r="N158" s="92">
        <f t="shared" si="41"/>
        <v>767985</v>
      </c>
    </row>
    <row r="159" spans="1:14" ht="14.5" thickTop="1" x14ac:dyDescent="0.3">
      <c r="A159" s="61"/>
      <c r="B159" s="61"/>
      <c r="C159" s="54">
        <v>0</v>
      </c>
      <c r="D159" s="54"/>
      <c r="E159" s="54">
        <f t="shared" si="40"/>
        <v>0</v>
      </c>
      <c r="F159" s="54"/>
      <c r="G159" s="54"/>
      <c r="H159" s="180"/>
      <c r="I159" s="54"/>
      <c r="J159" s="62">
        <f>C159*104.6%</f>
        <v>0</v>
      </c>
      <c r="K159" s="62">
        <f t="shared" si="37"/>
        <v>0</v>
      </c>
      <c r="L159" s="200"/>
      <c r="M159" s="200"/>
      <c r="N159" s="200"/>
    </row>
    <row r="160" spans="1:14" x14ac:dyDescent="0.3">
      <c r="A160" s="51" t="s">
        <v>79</v>
      </c>
      <c r="B160" s="52"/>
      <c r="C160" s="54"/>
      <c r="D160" s="54"/>
      <c r="E160" s="54">
        <f t="shared" si="40"/>
        <v>0</v>
      </c>
      <c r="F160" s="54"/>
      <c r="G160" s="54"/>
      <c r="H160" s="180"/>
      <c r="I160" s="54"/>
      <c r="J160" s="62"/>
      <c r="K160" s="62"/>
      <c r="L160" s="200"/>
      <c r="M160" s="200"/>
      <c r="N160" s="200"/>
    </row>
    <row r="161" spans="1:16" x14ac:dyDescent="0.3">
      <c r="A161" s="52"/>
      <c r="B161" s="52" t="s">
        <v>185</v>
      </c>
      <c r="C161" s="54">
        <v>0</v>
      </c>
      <c r="D161" s="54"/>
      <c r="E161" s="54">
        <f t="shared" si="40"/>
        <v>0</v>
      </c>
      <c r="F161" s="54"/>
      <c r="G161" s="53">
        <f t="shared" ref="G161:G169" si="42">E161+F161</f>
        <v>0</v>
      </c>
      <c r="H161" s="172"/>
      <c r="I161" s="69">
        <f t="shared" ref="I161:I169" si="43">G161+H161</f>
        <v>0</v>
      </c>
      <c r="J161" s="62"/>
      <c r="K161" s="62"/>
      <c r="L161" s="200"/>
      <c r="M161" s="200"/>
      <c r="N161" s="53">
        <f t="shared" ref="N161:N169" si="44">I161-L161-M161</f>
        <v>0</v>
      </c>
    </row>
    <row r="162" spans="1:16" x14ac:dyDescent="0.3">
      <c r="A162" s="52"/>
      <c r="B162" s="52" t="s">
        <v>176</v>
      </c>
      <c r="C162" s="54">
        <v>0</v>
      </c>
      <c r="D162" s="54"/>
      <c r="E162" s="54">
        <f t="shared" si="40"/>
        <v>0</v>
      </c>
      <c r="F162" s="54"/>
      <c r="G162" s="53">
        <f t="shared" si="42"/>
        <v>0</v>
      </c>
      <c r="H162" s="172"/>
      <c r="I162" s="69">
        <f t="shared" si="43"/>
        <v>0</v>
      </c>
      <c r="J162" s="62"/>
      <c r="K162" s="62"/>
      <c r="L162" s="200"/>
      <c r="M162" s="200"/>
      <c r="N162" s="53">
        <f t="shared" si="44"/>
        <v>0</v>
      </c>
    </row>
    <row r="163" spans="1:16" x14ac:dyDescent="0.3">
      <c r="A163" s="52"/>
      <c r="B163" s="52" t="s">
        <v>182</v>
      </c>
      <c r="C163" s="54">
        <v>0</v>
      </c>
      <c r="D163" s="54"/>
      <c r="E163" s="54">
        <f t="shared" si="40"/>
        <v>0</v>
      </c>
      <c r="F163" s="54"/>
      <c r="G163" s="53">
        <f t="shared" si="42"/>
        <v>0</v>
      </c>
      <c r="H163" s="172"/>
      <c r="I163" s="69">
        <f t="shared" si="43"/>
        <v>0</v>
      </c>
      <c r="J163" s="62"/>
      <c r="K163" s="62"/>
      <c r="L163" s="200"/>
      <c r="M163" s="200"/>
      <c r="N163" s="53">
        <f t="shared" si="44"/>
        <v>0</v>
      </c>
    </row>
    <row r="164" spans="1:16" x14ac:dyDescent="0.3">
      <c r="A164" s="52"/>
      <c r="B164" s="52" t="s">
        <v>59</v>
      </c>
      <c r="C164" s="54">
        <v>0</v>
      </c>
      <c r="D164" s="54"/>
      <c r="E164" s="54">
        <f t="shared" si="40"/>
        <v>0</v>
      </c>
      <c r="F164" s="54"/>
      <c r="G164" s="53">
        <f t="shared" si="42"/>
        <v>0</v>
      </c>
      <c r="H164" s="172"/>
      <c r="I164" s="69">
        <f t="shared" si="43"/>
        <v>0</v>
      </c>
      <c r="J164" s="62"/>
      <c r="K164" s="62"/>
      <c r="L164" s="200"/>
      <c r="M164" s="200"/>
      <c r="N164" s="53">
        <f t="shared" si="44"/>
        <v>0</v>
      </c>
    </row>
    <row r="165" spans="1:16" x14ac:dyDescent="0.3">
      <c r="A165" s="52"/>
      <c r="B165" s="52" t="s">
        <v>168</v>
      </c>
      <c r="C165" s="54">
        <v>0</v>
      </c>
      <c r="D165" s="54"/>
      <c r="E165" s="54">
        <f t="shared" si="40"/>
        <v>0</v>
      </c>
      <c r="F165" s="54"/>
      <c r="G165" s="53">
        <f t="shared" si="42"/>
        <v>0</v>
      </c>
      <c r="H165" s="172"/>
      <c r="I165" s="69">
        <f t="shared" si="43"/>
        <v>0</v>
      </c>
      <c r="J165" s="62"/>
      <c r="K165" s="62"/>
      <c r="L165" s="200"/>
      <c r="M165" s="200"/>
      <c r="N165" s="53">
        <f t="shared" si="44"/>
        <v>0</v>
      </c>
    </row>
    <row r="166" spans="1:16" x14ac:dyDescent="0.3">
      <c r="A166" s="52"/>
      <c r="B166" s="52" t="s">
        <v>173</v>
      </c>
      <c r="C166" s="54">
        <v>0</v>
      </c>
      <c r="D166" s="54"/>
      <c r="E166" s="54">
        <f t="shared" si="40"/>
        <v>0</v>
      </c>
      <c r="F166" s="54"/>
      <c r="G166" s="53">
        <f t="shared" si="42"/>
        <v>0</v>
      </c>
      <c r="H166" s="172"/>
      <c r="I166" s="69">
        <f t="shared" si="43"/>
        <v>0</v>
      </c>
      <c r="J166" s="62"/>
      <c r="K166" s="62"/>
      <c r="L166" s="200"/>
      <c r="M166" s="200"/>
      <c r="N166" s="53">
        <f t="shared" si="44"/>
        <v>0</v>
      </c>
    </row>
    <row r="167" spans="1:16" x14ac:dyDescent="0.3">
      <c r="A167" s="52"/>
      <c r="B167" s="52" t="s">
        <v>192</v>
      </c>
      <c r="C167" s="54">
        <v>0</v>
      </c>
      <c r="D167" s="54"/>
      <c r="E167" s="54">
        <f t="shared" si="40"/>
        <v>0</v>
      </c>
      <c r="F167" s="54"/>
      <c r="G167" s="53">
        <f t="shared" si="42"/>
        <v>0</v>
      </c>
      <c r="H167" s="172"/>
      <c r="I167" s="69">
        <f t="shared" si="43"/>
        <v>0</v>
      </c>
      <c r="J167" s="62"/>
      <c r="K167" s="62"/>
      <c r="L167" s="200"/>
      <c r="M167" s="200"/>
      <c r="N167" s="53">
        <f t="shared" si="44"/>
        <v>0</v>
      </c>
    </row>
    <row r="168" spans="1:16" x14ac:dyDescent="0.3">
      <c r="A168" s="52"/>
      <c r="B168" s="52" t="s">
        <v>57</v>
      </c>
      <c r="C168" s="54">
        <v>0</v>
      </c>
      <c r="D168" s="54"/>
      <c r="E168" s="54">
        <f t="shared" si="40"/>
        <v>0</v>
      </c>
      <c r="F168" s="54"/>
      <c r="G168" s="53">
        <f t="shared" si="42"/>
        <v>0</v>
      </c>
      <c r="H168" s="172"/>
      <c r="I168" s="69">
        <f t="shared" si="43"/>
        <v>0</v>
      </c>
      <c r="J168" s="62"/>
      <c r="K168" s="62"/>
      <c r="L168" s="200"/>
      <c r="M168" s="200"/>
      <c r="N168" s="53">
        <f t="shared" si="44"/>
        <v>0</v>
      </c>
    </row>
    <row r="169" spans="1:16" x14ac:dyDescent="0.3">
      <c r="A169" s="52"/>
      <c r="B169" s="52" t="s">
        <v>179</v>
      </c>
      <c r="C169" s="54">
        <v>0</v>
      </c>
      <c r="D169" s="54"/>
      <c r="E169" s="54">
        <f t="shared" si="40"/>
        <v>0</v>
      </c>
      <c r="F169" s="54"/>
      <c r="G169" s="53">
        <f t="shared" si="42"/>
        <v>0</v>
      </c>
      <c r="H169" s="172"/>
      <c r="I169" s="69">
        <f t="shared" si="43"/>
        <v>0</v>
      </c>
      <c r="J169" s="62"/>
      <c r="K169" s="62"/>
      <c r="L169" s="200"/>
      <c r="M169" s="200"/>
      <c r="N169" s="53">
        <f t="shared" si="44"/>
        <v>0</v>
      </c>
    </row>
    <row r="170" spans="1:16" ht="14.5" thickBot="1" x14ac:dyDescent="0.35">
      <c r="A170" s="55"/>
      <c r="B170" s="55"/>
      <c r="C170" s="68"/>
      <c r="D170" s="68"/>
      <c r="E170" s="54">
        <f t="shared" si="40"/>
        <v>0</v>
      </c>
      <c r="F170" s="68"/>
      <c r="G170" s="68"/>
      <c r="H170" s="183"/>
      <c r="I170" s="68"/>
      <c r="J170" s="79"/>
      <c r="K170" s="79"/>
      <c r="L170" s="200"/>
      <c r="M170" s="200"/>
      <c r="N170" s="200"/>
    </row>
    <row r="171" spans="1:16" ht="14.5" thickBot="1" x14ac:dyDescent="0.35">
      <c r="A171" s="57" t="s">
        <v>203</v>
      </c>
      <c r="B171" s="57"/>
      <c r="C171" s="57"/>
      <c r="D171" s="57"/>
      <c r="E171" s="57"/>
      <c r="F171" s="57"/>
      <c r="G171" s="57"/>
      <c r="H171" s="185"/>
      <c r="I171" s="57"/>
      <c r="J171" s="57"/>
      <c r="K171" s="57"/>
      <c r="L171" s="59"/>
      <c r="M171" s="59"/>
      <c r="N171" s="59"/>
    </row>
    <row r="172" spans="1:16" ht="15" thickTop="1" thickBot="1" x14ac:dyDescent="0.35">
      <c r="A172" s="73"/>
      <c r="B172" s="73"/>
      <c r="C172" s="68"/>
      <c r="D172" s="68"/>
      <c r="E172" s="54">
        <f t="shared" si="40"/>
        <v>0</v>
      </c>
      <c r="F172" s="68"/>
      <c r="G172" s="68"/>
      <c r="H172" s="183"/>
      <c r="I172" s="68"/>
      <c r="J172" s="79"/>
      <c r="K172" s="79"/>
      <c r="L172" s="200"/>
      <c r="M172" s="200"/>
      <c r="N172" s="200"/>
    </row>
    <row r="173" spans="1:16" s="201" customFormat="1" ht="14.5" thickBot="1" x14ac:dyDescent="0.35">
      <c r="A173" s="70" t="s">
        <v>832</v>
      </c>
      <c r="B173" s="70"/>
      <c r="C173" s="71">
        <f>C171+C158</f>
        <v>3470000</v>
      </c>
      <c r="D173" s="71">
        <f t="shared" ref="D173:N173" si="45">D171+D158</f>
        <v>0</v>
      </c>
      <c r="E173" s="71">
        <f t="shared" si="45"/>
        <v>3470000</v>
      </c>
      <c r="F173" s="71">
        <f t="shared" si="45"/>
        <v>0</v>
      </c>
      <c r="G173" s="71">
        <f t="shared" si="45"/>
        <v>3470000</v>
      </c>
      <c r="H173" s="184">
        <f t="shared" si="45"/>
        <v>-1147296.99</v>
      </c>
      <c r="I173" s="71">
        <f t="shared" si="45"/>
        <v>2322703.0100000002</v>
      </c>
      <c r="J173" s="71">
        <f t="shared" si="45"/>
        <v>3629620</v>
      </c>
      <c r="K173" s="71">
        <f t="shared" si="45"/>
        <v>3796582.5199999996</v>
      </c>
      <c r="L173" s="71">
        <f t="shared" si="45"/>
        <v>1543891.9200000002</v>
      </c>
      <c r="M173" s="71">
        <f t="shared" si="45"/>
        <v>10826.09</v>
      </c>
      <c r="N173" s="71">
        <f t="shared" si="45"/>
        <v>767985</v>
      </c>
      <c r="O173" s="213"/>
      <c r="P173" s="213"/>
    </row>
    <row r="174" spans="1:16" ht="14.5" thickTop="1" x14ac:dyDescent="0.3">
      <c r="A174" s="61"/>
      <c r="B174" s="61"/>
      <c r="C174" s="54"/>
      <c r="D174" s="54"/>
      <c r="E174" s="54">
        <f t="shared" si="40"/>
        <v>0</v>
      </c>
      <c r="F174" s="54"/>
      <c r="G174" s="54"/>
      <c r="H174" s="180"/>
      <c r="I174" s="54"/>
      <c r="J174" s="62"/>
      <c r="K174" s="62"/>
      <c r="L174" s="200"/>
      <c r="M174" s="200"/>
      <c r="N174" s="200"/>
    </row>
    <row r="175" spans="1:16" x14ac:dyDescent="0.3">
      <c r="A175" s="51" t="s">
        <v>833</v>
      </c>
      <c r="B175" s="51"/>
      <c r="C175" s="54">
        <v>0</v>
      </c>
      <c r="D175" s="54"/>
      <c r="E175" s="54">
        <f t="shared" si="40"/>
        <v>0</v>
      </c>
      <c r="F175" s="54"/>
      <c r="G175" s="54"/>
      <c r="H175" s="180"/>
      <c r="I175" s="54"/>
      <c r="J175" s="53">
        <f t="shared" ref="J175:J199" si="46">C175*104.6%</f>
        <v>0</v>
      </c>
      <c r="K175" s="53">
        <f t="shared" si="37"/>
        <v>0</v>
      </c>
      <c r="L175" s="200"/>
      <c r="M175" s="200"/>
      <c r="N175" s="200"/>
    </row>
    <row r="176" spans="1:16" x14ac:dyDescent="0.3">
      <c r="A176" s="52"/>
      <c r="B176" s="51" t="s">
        <v>785</v>
      </c>
      <c r="C176" s="54"/>
      <c r="D176" s="54"/>
      <c r="E176" s="54">
        <f t="shared" si="40"/>
        <v>0</v>
      </c>
      <c r="F176" s="54"/>
      <c r="G176" s="54"/>
      <c r="H176" s="180"/>
      <c r="I176" s="54"/>
      <c r="J176" s="53">
        <f t="shared" si="46"/>
        <v>0</v>
      </c>
      <c r="K176" s="53">
        <f t="shared" si="37"/>
        <v>0</v>
      </c>
      <c r="L176" s="200"/>
      <c r="M176" s="200"/>
      <c r="N176" s="200"/>
    </row>
    <row r="177" spans="1:14" x14ac:dyDescent="0.3">
      <c r="A177" s="52" t="s">
        <v>1000</v>
      </c>
      <c r="B177" s="52" t="s">
        <v>786</v>
      </c>
      <c r="C177" s="54">
        <v>60000</v>
      </c>
      <c r="D177" s="54"/>
      <c r="E177" s="54">
        <f t="shared" si="40"/>
        <v>60000</v>
      </c>
      <c r="F177" s="54"/>
      <c r="G177" s="53">
        <f t="shared" ref="G177:G240" si="47">E177+F177</f>
        <v>60000</v>
      </c>
      <c r="H177" s="170">
        <v>10000</v>
      </c>
      <c r="I177" s="69">
        <f t="shared" ref="I177:I208" si="48">G177+H177</f>
        <v>70000</v>
      </c>
      <c r="J177" s="53">
        <f t="shared" si="46"/>
        <v>62760</v>
      </c>
      <c r="K177" s="53">
        <f t="shared" si="37"/>
        <v>65646.960000000006</v>
      </c>
      <c r="L177" s="200">
        <v>54925</v>
      </c>
      <c r="M177" s="200"/>
      <c r="N177" s="53">
        <f t="shared" ref="N177:N240" si="49">I177-L177-M177</f>
        <v>15075</v>
      </c>
    </row>
    <row r="178" spans="1:14" x14ac:dyDescent="0.3">
      <c r="A178" s="52" t="s">
        <v>1001</v>
      </c>
      <c r="B178" s="52" t="s">
        <v>787</v>
      </c>
      <c r="C178" s="54">
        <v>30000</v>
      </c>
      <c r="D178" s="54"/>
      <c r="E178" s="54">
        <f t="shared" si="40"/>
        <v>30000</v>
      </c>
      <c r="F178" s="54"/>
      <c r="G178" s="53">
        <f t="shared" si="47"/>
        <v>30000</v>
      </c>
      <c r="H178" s="170">
        <v>40000</v>
      </c>
      <c r="I178" s="69">
        <f t="shared" si="48"/>
        <v>70000</v>
      </c>
      <c r="J178" s="53">
        <f t="shared" si="46"/>
        <v>31380</v>
      </c>
      <c r="K178" s="53">
        <f t="shared" si="37"/>
        <v>32823.480000000003</v>
      </c>
      <c r="L178" s="200">
        <v>59100</v>
      </c>
      <c r="M178" s="200"/>
      <c r="N178" s="53">
        <f t="shared" si="49"/>
        <v>10900</v>
      </c>
    </row>
    <row r="179" spans="1:14" x14ac:dyDescent="0.3">
      <c r="A179" s="52" t="s">
        <v>1002</v>
      </c>
      <c r="B179" s="52" t="s">
        <v>788</v>
      </c>
      <c r="C179" s="54">
        <v>60000</v>
      </c>
      <c r="D179" s="54"/>
      <c r="E179" s="54">
        <f t="shared" si="40"/>
        <v>60000</v>
      </c>
      <c r="F179" s="54"/>
      <c r="G179" s="53">
        <f t="shared" si="47"/>
        <v>60000</v>
      </c>
      <c r="H179" s="170">
        <v>-20000</v>
      </c>
      <c r="I179" s="69">
        <f t="shared" si="48"/>
        <v>40000</v>
      </c>
      <c r="J179" s="53">
        <f t="shared" si="46"/>
        <v>62760</v>
      </c>
      <c r="K179" s="53">
        <f t="shared" si="37"/>
        <v>65646.960000000006</v>
      </c>
      <c r="L179" s="200">
        <v>25500</v>
      </c>
      <c r="M179" s="200"/>
      <c r="N179" s="53">
        <f t="shared" si="49"/>
        <v>14500</v>
      </c>
    </row>
    <row r="180" spans="1:14" x14ac:dyDescent="0.3">
      <c r="A180" s="52"/>
      <c r="B180" s="51" t="s">
        <v>950</v>
      </c>
      <c r="C180" s="54"/>
      <c r="D180" s="54"/>
      <c r="E180" s="54">
        <f t="shared" si="40"/>
        <v>0</v>
      </c>
      <c r="F180" s="54"/>
      <c r="G180" s="53">
        <f t="shared" si="47"/>
        <v>0</v>
      </c>
      <c r="H180" s="170"/>
      <c r="I180" s="69">
        <f t="shared" si="48"/>
        <v>0</v>
      </c>
      <c r="J180" s="53">
        <f t="shared" si="46"/>
        <v>0</v>
      </c>
      <c r="K180" s="53">
        <f t="shared" si="37"/>
        <v>0</v>
      </c>
      <c r="L180" s="200"/>
      <c r="M180" s="200"/>
      <c r="N180" s="53">
        <f t="shared" si="49"/>
        <v>0</v>
      </c>
    </row>
    <row r="181" spans="1:14" x14ac:dyDescent="0.3">
      <c r="A181" s="52" t="s">
        <v>1003</v>
      </c>
      <c r="B181" s="52" t="s">
        <v>789</v>
      </c>
      <c r="C181" s="54">
        <v>20000</v>
      </c>
      <c r="D181" s="54"/>
      <c r="E181" s="54">
        <f t="shared" si="40"/>
        <v>20000</v>
      </c>
      <c r="F181" s="54"/>
      <c r="G181" s="53">
        <f t="shared" si="47"/>
        <v>20000</v>
      </c>
      <c r="H181" s="170">
        <v>-20000</v>
      </c>
      <c r="I181" s="69">
        <f t="shared" si="48"/>
        <v>0</v>
      </c>
      <c r="J181" s="53">
        <f t="shared" si="46"/>
        <v>20920</v>
      </c>
      <c r="K181" s="53">
        <f t="shared" si="37"/>
        <v>21882.32</v>
      </c>
      <c r="L181" s="200"/>
      <c r="M181" s="200"/>
      <c r="N181" s="53">
        <f t="shared" si="49"/>
        <v>0</v>
      </c>
    </row>
    <row r="182" spans="1:14" x14ac:dyDescent="0.3">
      <c r="A182" s="52" t="s">
        <v>1004</v>
      </c>
      <c r="B182" s="52" t="s">
        <v>790</v>
      </c>
      <c r="C182" s="54">
        <v>20000</v>
      </c>
      <c r="D182" s="54"/>
      <c r="E182" s="54">
        <f t="shared" si="40"/>
        <v>20000</v>
      </c>
      <c r="F182" s="54"/>
      <c r="G182" s="53">
        <f t="shared" si="47"/>
        <v>20000</v>
      </c>
      <c r="H182" s="170">
        <v>-20000</v>
      </c>
      <c r="I182" s="69">
        <f t="shared" si="48"/>
        <v>0</v>
      </c>
      <c r="J182" s="53">
        <f t="shared" si="46"/>
        <v>20920</v>
      </c>
      <c r="K182" s="53">
        <f t="shared" si="37"/>
        <v>21882.32</v>
      </c>
      <c r="L182" s="200"/>
      <c r="M182" s="200"/>
      <c r="N182" s="53">
        <f t="shared" si="49"/>
        <v>0</v>
      </c>
    </row>
    <row r="183" spans="1:14" x14ac:dyDescent="0.3">
      <c r="A183" s="52" t="s">
        <v>1005</v>
      </c>
      <c r="B183" s="52" t="s">
        <v>791</v>
      </c>
      <c r="C183" s="54">
        <v>30000</v>
      </c>
      <c r="D183" s="54"/>
      <c r="E183" s="54">
        <f t="shared" si="40"/>
        <v>30000</v>
      </c>
      <c r="F183" s="54"/>
      <c r="G183" s="53">
        <f t="shared" si="47"/>
        <v>30000</v>
      </c>
      <c r="H183" s="170">
        <v>-30000</v>
      </c>
      <c r="I183" s="69">
        <f t="shared" si="48"/>
        <v>0</v>
      </c>
      <c r="J183" s="53">
        <f t="shared" si="46"/>
        <v>31380</v>
      </c>
      <c r="K183" s="53">
        <f t="shared" si="37"/>
        <v>32823.480000000003</v>
      </c>
      <c r="L183" s="200"/>
      <c r="M183" s="200"/>
      <c r="N183" s="53">
        <f t="shared" si="49"/>
        <v>0</v>
      </c>
    </row>
    <row r="184" spans="1:14" x14ac:dyDescent="0.3">
      <c r="A184" s="52" t="s">
        <v>1006</v>
      </c>
      <c r="B184" s="52" t="s">
        <v>792</v>
      </c>
      <c r="C184" s="54">
        <v>280000</v>
      </c>
      <c r="D184" s="54"/>
      <c r="E184" s="54">
        <f t="shared" si="40"/>
        <v>280000</v>
      </c>
      <c r="F184" s="54"/>
      <c r="G184" s="53">
        <f t="shared" si="47"/>
        <v>280000</v>
      </c>
      <c r="H184" s="170"/>
      <c r="I184" s="69">
        <f t="shared" si="48"/>
        <v>280000</v>
      </c>
      <c r="J184" s="53">
        <f t="shared" si="46"/>
        <v>292880</v>
      </c>
      <c r="K184" s="53">
        <f t="shared" si="37"/>
        <v>306352.48000000004</v>
      </c>
      <c r="L184" s="200"/>
      <c r="M184" s="200"/>
      <c r="N184" s="53">
        <f t="shared" si="49"/>
        <v>280000</v>
      </c>
    </row>
    <row r="185" spans="1:14" x14ac:dyDescent="0.3">
      <c r="A185" s="52"/>
      <c r="B185" s="51" t="s">
        <v>949</v>
      </c>
      <c r="C185" s="54"/>
      <c r="D185" s="54"/>
      <c r="E185" s="54">
        <f t="shared" si="40"/>
        <v>0</v>
      </c>
      <c r="F185" s="54"/>
      <c r="G185" s="53">
        <f t="shared" si="47"/>
        <v>0</v>
      </c>
      <c r="H185" s="170"/>
      <c r="I185" s="69">
        <f t="shared" si="48"/>
        <v>0</v>
      </c>
      <c r="J185" s="53">
        <f t="shared" si="46"/>
        <v>0</v>
      </c>
      <c r="K185" s="53">
        <f t="shared" si="37"/>
        <v>0</v>
      </c>
      <c r="L185" s="200"/>
      <c r="M185" s="200"/>
      <c r="N185" s="53">
        <f t="shared" si="49"/>
        <v>0</v>
      </c>
    </row>
    <row r="186" spans="1:14" x14ac:dyDescent="0.3">
      <c r="A186" s="52" t="s">
        <v>1007</v>
      </c>
      <c r="B186" s="52" t="s">
        <v>793</v>
      </c>
      <c r="C186" s="54">
        <v>100000</v>
      </c>
      <c r="D186" s="54"/>
      <c r="E186" s="54">
        <f t="shared" si="40"/>
        <v>100000</v>
      </c>
      <c r="F186" s="54"/>
      <c r="G186" s="53">
        <f t="shared" si="47"/>
        <v>100000</v>
      </c>
      <c r="H186" s="170">
        <v>-100000</v>
      </c>
      <c r="I186" s="69">
        <f t="shared" si="48"/>
        <v>0</v>
      </c>
      <c r="J186" s="53">
        <f t="shared" si="46"/>
        <v>104600</v>
      </c>
      <c r="K186" s="53">
        <f t="shared" si="37"/>
        <v>109411.6</v>
      </c>
      <c r="L186" s="200"/>
      <c r="M186" s="200"/>
      <c r="N186" s="53">
        <f t="shared" si="49"/>
        <v>0</v>
      </c>
    </row>
    <row r="187" spans="1:14" x14ac:dyDescent="0.3">
      <c r="A187" s="52" t="s">
        <v>1360</v>
      </c>
      <c r="B187" s="52" t="s">
        <v>794</v>
      </c>
      <c r="C187" s="54">
        <v>30000</v>
      </c>
      <c r="D187" s="54"/>
      <c r="E187" s="54">
        <f t="shared" si="40"/>
        <v>30000</v>
      </c>
      <c r="F187" s="54"/>
      <c r="G187" s="53">
        <f t="shared" si="47"/>
        <v>30000</v>
      </c>
      <c r="H187" s="170">
        <v>-30000</v>
      </c>
      <c r="I187" s="69">
        <f t="shared" si="48"/>
        <v>0</v>
      </c>
      <c r="J187" s="53">
        <f t="shared" si="46"/>
        <v>31380</v>
      </c>
      <c r="K187" s="53">
        <f t="shared" si="37"/>
        <v>32823.480000000003</v>
      </c>
      <c r="L187" s="200"/>
      <c r="M187" s="200"/>
      <c r="N187" s="53">
        <f t="shared" si="49"/>
        <v>0</v>
      </c>
    </row>
    <row r="188" spans="1:14" x14ac:dyDescent="0.3">
      <c r="A188" s="52" t="s">
        <v>1008</v>
      </c>
      <c r="B188" s="52" t="s">
        <v>795</v>
      </c>
      <c r="C188" s="54">
        <v>30000</v>
      </c>
      <c r="D188" s="54"/>
      <c r="E188" s="54">
        <f t="shared" si="40"/>
        <v>30000</v>
      </c>
      <c r="F188" s="54"/>
      <c r="G188" s="53">
        <f t="shared" si="47"/>
        <v>30000</v>
      </c>
      <c r="H188" s="170">
        <v>-30000</v>
      </c>
      <c r="I188" s="69">
        <f t="shared" si="48"/>
        <v>0</v>
      </c>
      <c r="J188" s="53">
        <f t="shared" si="46"/>
        <v>31380</v>
      </c>
      <c r="K188" s="53">
        <f t="shared" si="37"/>
        <v>32823.480000000003</v>
      </c>
      <c r="L188" s="200"/>
      <c r="M188" s="200"/>
      <c r="N188" s="53">
        <f t="shared" si="49"/>
        <v>0</v>
      </c>
    </row>
    <row r="189" spans="1:14" x14ac:dyDescent="0.3">
      <c r="A189" s="52" t="s">
        <v>1009</v>
      </c>
      <c r="B189" s="52" t="s">
        <v>796</v>
      </c>
      <c r="C189" s="54">
        <v>100000</v>
      </c>
      <c r="D189" s="54"/>
      <c r="E189" s="54">
        <f t="shared" si="40"/>
        <v>100000</v>
      </c>
      <c r="F189" s="54"/>
      <c r="G189" s="53">
        <f t="shared" si="47"/>
        <v>100000</v>
      </c>
      <c r="H189" s="170">
        <v>-20000</v>
      </c>
      <c r="I189" s="69">
        <f t="shared" si="48"/>
        <v>80000</v>
      </c>
      <c r="J189" s="53">
        <f t="shared" si="46"/>
        <v>104600</v>
      </c>
      <c r="K189" s="53">
        <f t="shared" si="37"/>
        <v>109411.6</v>
      </c>
      <c r="L189" s="200"/>
      <c r="M189" s="200"/>
      <c r="N189" s="53">
        <f t="shared" si="49"/>
        <v>80000</v>
      </c>
    </row>
    <row r="190" spans="1:14" x14ac:dyDescent="0.3">
      <c r="A190" s="52"/>
      <c r="B190" s="51" t="s">
        <v>948</v>
      </c>
      <c r="C190" s="54"/>
      <c r="D190" s="54"/>
      <c r="E190" s="54">
        <f t="shared" si="40"/>
        <v>0</v>
      </c>
      <c r="F190" s="54"/>
      <c r="G190" s="53">
        <f t="shared" si="47"/>
        <v>0</v>
      </c>
      <c r="H190" s="170"/>
      <c r="I190" s="69">
        <f t="shared" si="48"/>
        <v>0</v>
      </c>
      <c r="J190" s="53">
        <f t="shared" si="46"/>
        <v>0</v>
      </c>
      <c r="K190" s="53">
        <f t="shared" si="37"/>
        <v>0</v>
      </c>
      <c r="L190" s="200"/>
      <c r="M190" s="200"/>
      <c r="N190" s="53">
        <f t="shared" si="49"/>
        <v>0</v>
      </c>
    </row>
    <row r="191" spans="1:14" x14ac:dyDescent="0.3">
      <c r="A191" s="52" t="s">
        <v>1010</v>
      </c>
      <c r="B191" s="52" t="s">
        <v>797</v>
      </c>
      <c r="C191" s="54">
        <v>120000</v>
      </c>
      <c r="D191" s="54"/>
      <c r="E191" s="54">
        <f t="shared" si="40"/>
        <v>120000</v>
      </c>
      <c r="F191" s="54"/>
      <c r="G191" s="53">
        <f t="shared" si="47"/>
        <v>120000</v>
      </c>
      <c r="H191" s="170">
        <v>-50000</v>
      </c>
      <c r="I191" s="69">
        <f t="shared" si="48"/>
        <v>70000</v>
      </c>
      <c r="J191" s="53">
        <f t="shared" si="46"/>
        <v>125520</v>
      </c>
      <c r="K191" s="53">
        <f t="shared" si="37"/>
        <v>131293.92000000001</v>
      </c>
      <c r="L191" s="200">
        <v>55500</v>
      </c>
      <c r="M191" s="200"/>
      <c r="N191" s="53">
        <f t="shared" si="49"/>
        <v>14500</v>
      </c>
    </row>
    <row r="192" spans="1:14" x14ac:dyDescent="0.3">
      <c r="A192" s="52" t="s">
        <v>1011</v>
      </c>
      <c r="B192" s="52" t="s">
        <v>798</v>
      </c>
      <c r="C192" s="54">
        <v>100000</v>
      </c>
      <c r="D192" s="54"/>
      <c r="E192" s="54">
        <f t="shared" si="40"/>
        <v>100000</v>
      </c>
      <c r="F192" s="54"/>
      <c r="G192" s="53">
        <f t="shared" si="47"/>
        <v>100000</v>
      </c>
      <c r="H192" s="170">
        <v>-100000</v>
      </c>
      <c r="I192" s="69">
        <f t="shared" si="48"/>
        <v>0</v>
      </c>
      <c r="J192" s="53">
        <f t="shared" si="46"/>
        <v>104600</v>
      </c>
      <c r="K192" s="53">
        <f t="shared" ref="K192:K241" si="50">J192*104.6%</f>
        <v>109411.6</v>
      </c>
      <c r="L192" s="200">
        <v>0</v>
      </c>
      <c r="M192" s="200"/>
      <c r="N192" s="53">
        <f t="shared" si="49"/>
        <v>0</v>
      </c>
    </row>
    <row r="193" spans="1:14" x14ac:dyDescent="0.3">
      <c r="A193" s="52" t="s">
        <v>1012</v>
      </c>
      <c r="B193" s="52" t="s">
        <v>799</v>
      </c>
      <c r="C193" s="54">
        <v>30000</v>
      </c>
      <c r="D193" s="54"/>
      <c r="E193" s="54">
        <f t="shared" si="40"/>
        <v>30000</v>
      </c>
      <c r="F193" s="54"/>
      <c r="G193" s="53">
        <f t="shared" si="47"/>
        <v>30000</v>
      </c>
      <c r="H193" s="170"/>
      <c r="I193" s="69">
        <f t="shared" si="48"/>
        <v>30000</v>
      </c>
      <c r="J193" s="53">
        <f t="shared" si="46"/>
        <v>31380</v>
      </c>
      <c r="K193" s="53">
        <f t="shared" si="50"/>
        <v>32823.480000000003</v>
      </c>
      <c r="L193" s="200">
        <v>21000</v>
      </c>
      <c r="M193" s="200"/>
      <c r="N193" s="53">
        <f t="shared" si="49"/>
        <v>9000</v>
      </c>
    </row>
    <row r="194" spans="1:14" x14ac:dyDescent="0.3">
      <c r="A194" s="52" t="s">
        <v>1013</v>
      </c>
      <c r="B194" s="52" t="s">
        <v>800</v>
      </c>
      <c r="C194" s="54">
        <v>30000</v>
      </c>
      <c r="D194" s="54"/>
      <c r="E194" s="54">
        <f t="shared" si="40"/>
        <v>30000</v>
      </c>
      <c r="F194" s="54"/>
      <c r="G194" s="53">
        <f t="shared" si="47"/>
        <v>30000</v>
      </c>
      <c r="H194" s="170">
        <v>20400</v>
      </c>
      <c r="I194" s="69">
        <f t="shared" si="48"/>
        <v>50400</v>
      </c>
      <c r="J194" s="53">
        <f t="shared" si="46"/>
        <v>31380</v>
      </c>
      <c r="K194" s="53">
        <f t="shared" si="50"/>
        <v>32823.480000000003</v>
      </c>
      <c r="L194" s="200">
        <v>50400</v>
      </c>
      <c r="M194" s="200"/>
      <c r="N194" s="53">
        <f t="shared" si="49"/>
        <v>0</v>
      </c>
    </row>
    <row r="195" spans="1:14" x14ac:dyDescent="0.3">
      <c r="A195" s="52"/>
      <c r="B195" s="51" t="s">
        <v>947</v>
      </c>
      <c r="C195" s="54"/>
      <c r="D195" s="54"/>
      <c r="E195" s="54">
        <f t="shared" si="40"/>
        <v>0</v>
      </c>
      <c r="F195" s="54"/>
      <c r="G195" s="53">
        <f t="shared" si="47"/>
        <v>0</v>
      </c>
      <c r="H195" s="170"/>
      <c r="I195" s="69">
        <f t="shared" si="48"/>
        <v>0</v>
      </c>
      <c r="J195" s="53">
        <f t="shared" si="46"/>
        <v>0</v>
      </c>
      <c r="K195" s="53">
        <f t="shared" si="50"/>
        <v>0</v>
      </c>
      <c r="L195" s="200"/>
      <c r="M195" s="200"/>
      <c r="N195" s="53">
        <f t="shared" si="49"/>
        <v>0</v>
      </c>
    </row>
    <row r="196" spans="1:14" x14ac:dyDescent="0.3">
      <c r="A196" s="52" t="s">
        <v>1014</v>
      </c>
      <c r="B196" s="52" t="s">
        <v>801</v>
      </c>
      <c r="C196" s="54">
        <v>100000</v>
      </c>
      <c r="D196" s="54"/>
      <c r="E196" s="54">
        <f t="shared" si="40"/>
        <v>100000</v>
      </c>
      <c r="F196" s="54"/>
      <c r="G196" s="53">
        <f t="shared" si="47"/>
        <v>100000</v>
      </c>
      <c r="H196" s="170">
        <v>-30000</v>
      </c>
      <c r="I196" s="69">
        <f t="shared" si="48"/>
        <v>70000</v>
      </c>
      <c r="J196" s="53">
        <f t="shared" si="46"/>
        <v>104600</v>
      </c>
      <c r="K196" s="53">
        <f t="shared" si="50"/>
        <v>109411.6</v>
      </c>
      <c r="L196" s="200"/>
      <c r="M196" s="200"/>
      <c r="N196" s="53">
        <f t="shared" si="49"/>
        <v>70000</v>
      </c>
    </row>
    <row r="197" spans="1:14" x14ac:dyDescent="0.3">
      <c r="A197" s="52" t="s">
        <v>1015</v>
      </c>
      <c r="B197" s="52" t="s">
        <v>802</v>
      </c>
      <c r="C197" s="54">
        <v>60000</v>
      </c>
      <c r="D197" s="54"/>
      <c r="E197" s="54">
        <f t="shared" si="40"/>
        <v>60000</v>
      </c>
      <c r="F197" s="54"/>
      <c r="G197" s="53">
        <f t="shared" si="47"/>
        <v>60000</v>
      </c>
      <c r="H197" s="170"/>
      <c r="I197" s="69">
        <f t="shared" si="48"/>
        <v>60000</v>
      </c>
      <c r="J197" s="53">
        <f t="shared" si="46"/>
        <v>62760</v>
      </c>
      <c r="K197" s="53">
        <f t="shared" si="50"/>
        <v>65646.960000000006</v>
      </c>
      <c r="L197" s="200"/>
      <c r="M197" s="200"/>
      <c r="N197" s="53">
        <f t="shared" si="49"/>
        <v>60000</v>
      </c>
    </row>
    <row r="198" spans="1:14" x14ac:dyDescent="0.3">
      <c r="A198" s="52" t="s">
        <v>1016</v>
      </c>
      <c r="B198" s="52" t="s">
        <v>803</v>
      </c>
      <c r="C198" s="54">
        <v>50000</v>
      </c>
      <c r="D198" s="54"/>
      <c r="E198" s="54">
        <f t="shared" si="40"/>
        <v>50000</v>
      </c>
      <c r="F198" s="54"/>
      <c r="G198" s="53">
        <f t="shared" si="47"/>
        <v>50000</v>
      </c>
      <c r="H198" s="170">
        <v>-30000</v>
      </c>
      <c r="I198" s="69">
        <f t="shared" si="48"/>
        <v>20000</v>
      </c>
      <c r="J198" s="53">
        <f t="shared" si="46"/>
        <v>52300</v>
      </c>
      <c r="K198" s="53">
        <f t="shared" si="50"/>
        <v>54705.8</v>
      </c>
      <c r="L198" s="200"/>
      <c r="M198" s="200"/>
      <c r="N198" s="53">
        <f t="shared" si="49"/>
        <v>20000</v>
      </c>
    </row>
    <row r="199" spans="1:14" x14ac:dyDescent="0.3">
      <c r="A199" s="52" t="s">
        <v>1361</v>
      </c>
      <c r="B199" s="52" t="s">
        <v>804</v>
      </c>
      <c r="C199" s="54">
        <v>80000</v>
      </c>
      <c r="D199" s="54"/>
      <c r="E199" s="54">
        <f t="shared" si="40"/>
        <v>80000</v>
      </c>
      <c r="F199" s="54"/>
      <c r="G199" s="53">
        <f t="shared" si="47"/>
        <v>80000</v>
      </c>
      <c r="H199" s="170"/>
      <c r="I199" s="69">
        <f t="shared" si="48"/>
        <v>80000</v>
      </c>
      <c r="J199" s="53">
        <f t="shared" si="46"/>
        <v>83680</v>
      </c>
      <c r="K199" s="53">
        <f t="shared" si="50"/>
        <v>87529.279999999999</v>
      </c>
      <c r="L199" s="200"/>
      <c r="M199" s="200"/>
      <c r="N199" s="53">
        <f t="shared" si="49"/>
        <v>80000</v>
      </c>
    </row>
    <row r="200" spans="1:14" x14ac:dyDescent="0.3">
      <c r="A200" s="52"/>
      <c r="B200" s="51" t="s">
        <v>946</v>
      </c>
      <c r="C200" s="54"/>
      <c r="D200" s="54"/>
      <c r="E200" s="54">
        <f t="shared" si="40"/>
        <v>0</v>
      </c>
      <c r="F200" s="54"/>
      <c r="G200" s="53">
        <f t="shared" si="47"/>
        <v>0</v>
      </c>
      <c r="H200" s="170"/>
      <c r="I200" s="69">
        <f t="shared" si="48"/>
        <v>0</v>
      </c>
      <c r="J200" s="53"/>
      <c r="K200" s="53"/>
      <c r="L200" s="200"/>
      <c r="M200" s="200"/>
      <c r="N200" s="53">
        <f t="shared" si="49"/>
        <v>0</v>
      </c>
    </row>
    <row r="201" spans="1:14" x14ac:dyDescent="0.3">
      <c r="A201" s="52" t="s">
        <v>1017</v>
      </c>
      <c r="B201" s="52" t="s">
        <v>805</v>
      </c>
      <c r="C201" s="54">
        <v>20000</v>
      </c>
      <c r="D201" s="54"/>
      <c r="E201" s="54">
        <f t="shared" si="40"/>
        <v>20000</v>
      </c>
      <c r="F201" s="54"/>
      <c r="G201" s="53">
        <f t="shared" si="47"/>
        <v>20000</v>
      </c>
      <c r="H201" s="170">
        <v>-16000</v>
      </c>
      <c r="I201" s="69">
        <f t="shared" si="48"/>
        <v>4000</v>
      </c>
      <c r="J201" s="53">
        <f>C201*104.6%</f>
        <v>20920</v>
      </c>
      <c r="K201" s="53">
        <f t="shared" si="50"/>
        <v>21882.32</v>
      </c>
      <c r="L201" s="200">
        <v>4000</v>
      </c>
      <c r="M201" s="200"/>
      <c r="N201" s="53">
        <f t="shared" si="49"/>
        <v>0</v>
      </c>
    </row>
    <row r="202" spans="1:14" x14ac:dyDescent="0.3">
      <c r="A202" s="52" t="s">
        <v>1018</v>
      </c>
      <c r="B202" s="52" t="s">
        <v>806</v>
      </c>
      <c r="C202" s="54">
        <v>15000</v>
      </c>
      <c r="D202" s="54"/>
      <c r="E202" s="54">
        <f t="shared" si="40"/>
        <v>15000</v>
      </c>
      <c r="F202" s="54"/>
      <c r="G202" s="53">
        <f t="shared" si="47"/>
        <v>15000</v>
      </c>
      <c r="H202" s="170">
        <v>-15000</v>
      </c>
      <c r="I202" s="69">
        <f t="shared" si="48"/>
        <v>0</v>
      </c>
      <c r="J202" s="53">
        <f>C202*104.6%</f>
        <v>15690</v>
      </c>
      <c r="K202" s="53">
        <f t="shared" si="50"/>
        <v>16411.740000000002</v>
      </c>
      <c r="L202" s="200"/>
      <c r="M202" s="200"/>
      <c r="N202" s="53">
        <f t="shared" si="49"/>
        <v>0</v>
      </c>
    </row>
    <row r="203" spans="1:14" x14ac:dyDescent="0.3">
      <c r="A203" s="52"/>
      <c r="B203" s="51" t="s">
        <v>945</v>
      </c>
      <c r="C203" s="54"/>
      <c r="D203" s="54"/>
      <c r="E203" s="54">
        <f t="shared" si="40"/>
        <v>0</v>
      </c>
      <c r="F203" s="54"/>
      <c r="G203" s="53">
        <f t="shared" si="47"/>
        <v>0</v>
      </c>
      <c r="H203" s="170"/>
      <c r="I203" s="69">
        <f t="shared" si="48"/>
        <v>0</v>
      </c>
      <c r="J203" s="53"/>
      <c r="K203" s="53"/>
      <c r="L203" s="200"/>
      <c r="M203" s="200"/>
      <c r="N203" s="53">
        <f t="shared" si="49"/>
        <v>0</v>
      </c>
    </row>
    <row r="204" spans="1:14" x14ac:dyDescent="0.3">
      <c r="A204" s="52" t="s">
        <v>1019</v>
      </c>
      <c r="B204" s="52" t="s">
        <v>807</v>
      </c>
      <c r="C204" s="54">
        <v>45000</v>
      </c>
      <c r="D204" s="54"/>
      <c r="E204" s="54">
        <f t="shared" si="40"/>
        <v>45000</v>
      </c>
      <c r="F204" s="54"/>
      <c r="G204" s="53">
        <f t="shared" si="47"/>
        <v>45000</v>
      </c>
      <c r="H204" s="170">
        <v>20000</v>
      </c>
      <c r="I204" s="69">
        <f t="shared" si="48"/>
        <v>65000</v>
      </c>
      <c r="J204" s="53">
        <f t="shared" ref="J204:J241" si="51">C204*104.6%</f>
        <v>47070</v>
      </c>
      <c r="K204" s="53">
        <f t="shared" si="50"/>
        <v>49235.22</v>
      </c>
      <c r="L204" s="200"/>
      <c r="M204" s="200"/>
      <c r="N204" s="53">
        <f t="shared" si="49"/>
        <v>65000</v>
      </c>
    </row>
    <row r="205" spans="1:14" x14ac:dyDescent="0.3">
      <c r="A205" s="52" t="s">
        <v>1020</v>
      </c>
      <c r="B205" s="52" t="s">
        <v>808</v>
      </c>
      <c r="C205" s="54">
        <v>30000</v>
      </c>
      <c r="D205" s="54"/>
      <c r="E205" s="54">
        <f t="shared" si="40"/>
        <v>30000</v>
      </c>
      <c r="F205" s="54"/>
      <c r="G205" s="53">
        <f t="shared" si="47"/>
        <v>30000</v>
      </c>
      <c r="H205" s="170"/>
      <c r="I205" s="69">
        <f t="shared" si="48"/>
        <v>30000</v>
      </c>
      <c r="J205" s="53">
        <f t="shared" si="51"/>
        <v>31380</v>
      </c>
      <c r="K205" s="53">
        <f t="shared" si="50"/>
        <v>32823.480000000003</v>
      </c>
      <c r="L205" s="200"/>
      <c r="M205" s="200"/>
      <c r="N205" s="53">
        <f t="shared" si="49"/>
        <v>30000</v>
      </c>
    </row>
    <row r="206" spans="1:14" x14ac:dyDescent="0.3">
      <c r="A206" s="166" t="s">
        <v>1325</v>
      </c>
      <c r="B206" s="52" t="s">
        <v>809</v>
      </c>
      <c r="C206" s="54">
        <v>10000</v>
      </c>
      <c r="D206" s="54"/>
      <c r="E206" s="54">
        <f t="shared" si="40"/>
        <v>10000</v>
      </c>
      <c r="F206" s="54"/>
      <c r="G206" s="53">
        <f t="shared" si="47"/>
        <v>10000</v>
      </c>
      <c r="H206" s="170">
        <v>15000</v>
      </c>
      <c r="I206" s="69">
        <f t="shared" si="48"/>
        <v>25000</v>
      </c>
      <c r="J206" s="53">
        <f t="shared" si="51"/>
        <v>10460</v>
      </c>
      <c r="K206" s="53">
        <f t="shared" si="50"/>
        <v>10941.16</v>
      </c>
      <c r="L206" s="200"/>
      <c r="M206" s="200"/>
      <c r="N206" s="53">
        <f t="shared" si="49"/>
        <v>25000</v>
      </c>
    </row>
    <row r="207" spans="1:14" x14ac:dyDescent="0.3">
      <c r="A207" s="52" t="s">
        <v>1021</v>
      </c>
      <c r="B207" s="52" t="s">
        <v>810</v>
      </c>
      <c r="C207" s="54">
        <v>50000</v>
      </c>
      <c r="D207" s="54"/>
      <c r="E207" s="54">
        <f t="shared" si="40"/>
        <v>50000</v>
      </c>
      <c r="F207" s="54"/>
      <c r="G207" s="53">
        <f t="shared" si="47"/>
        <v>50000</v>
      </c>
      <c r="H207" s="170">
        <v>20000</v>
      </c>
      <c r="I207" s="69">
        <f t="shared" si="48"/>
        <v>70000</v>
      </c>
      <c r="J207" s="53">
        <f t="shared" si="51"/>
        <v>52300</v>
      </c>
      <c r="K207" s="53">
        <f t="shared" si="50"/>
        <v>54705.8</v>
      </c>
      <c r="L207" s="200"/>
      <c r="M207" s="200"/>
      <c r="N207" s="53">
        <f t="shared" si="49"/>
        <v>70000</v>
      </c>
    </row>
    <row r="208" spans="1:14" x14ac:dyDescent="0.3">
      <c r="A208" s="52"/>
      <c r="B208" s="51" t="s">
        <v>944</v>
      </c>
      <c r="C208" s="54"/>
      <c r="D208" s="54"/>
      <c r="E208" s="54">
        <f t="shared" si="40"/>
        <v>0</v>
      </c>
      <c r="F208" s="54"/>
      <c r="G208" s="53">
        <f t="shared" si="47"/>
        <v>0</v>
      </c>
      <c r="H208" s="170"/>
      <c r="I208" s="69">
        <f t="shared" si="48"/>
        <v>0</v>
      </c>
      <c r="J208" s="53">
        <f t="shared" si="51"/>
        <v>0</v>
      </c>
      <c r="K208" s="53">
        <f t="shared" si="50"/>
        <v>0</v>
      </c>
      <c r="L208" s="200"/>
      <c r="M208" s="200"/>
      <c r="N208" s="53">
        <f t="shared" si="49"/>
        <v>0</v>
      </c>
    </row>
    <row r="209" spans="1:14" x14ac:dyDescent="0.3">
      <c r="A209" s="52" t="s">
        <v>1022</v>
      </c>
      <c r="B209" s="52" t="s">
        <v>811</v>
      </c>
      <c r="C209" s="54">
        <v>45000</v>
      </c>
      <c r="D209" s="54"/>
      <c r="E209" s="54">
        <f t="shared" ref="E209:E271" si="52">C209+D209</f>
        <v>45000</v>
      </c>
      <c r="F209" s="54"/>
      <c r="G209" s="53">
        <f t="shared" si="47"/>
        <v>45000</v>
      </c>
      <c r="H209" s="170">
        <v>-45000</v>
      </c>
      <c r="I209" s="69">
        <f t="shared" ref="I209:I240" si="53">G209+H209</f>
        <v>0</v>
      </c>
      <c r="J209" s="53">
        <f t="shared" si="51"/>
        <v>47070</v>
      </c>
      <c r="K209" s="53">
        <f t="shared" si="50"/>
        <v>49235.22</v>
      </c>
      <c r="L209" s="200"/>
      <c r="M209" s="200"/>
      <c r="N209" s="53">
        <f t="shared" si="49"/>
        <v>0</v>
      </c>
    </row>
    <row r="210" spans="1:14" x14ac:dyDescent="0.3">
      <c r="A210" s="52" t="s">
        <v>1023</v>
      </c>
      <c r="B210" s="52" t="s">
        <v>812</v>
      </c>
      <c r="C210" s="54">
        <v>30000</v>
      </c>
      <c r="D210" s="54"/>
      <c r="E210" s="54">
        <f t="shared" si="52"/>
        <v>30000</v>
      </c>
      <c r="F210" s="54"/>
      <c r="G210" s="53">
        <f t="shared" si="47"/>
        <v>30000</v>
      </c>
      <c r="H210" s="170">
        <v>-30000</v>
      </c>
      <c r="I210" s="69">
        <f t="shared" si="53"/>
        <v>0</v>
      </c>
      <c r="J210" s="53">
        <f t="shared" si="51"/>
        <v>31380</v>
      </c>
      <c r="K210" s="53">
        <f t="shared" si="50"/>
        <v>32823.480000000003</v>
      </c>
      <c r="L210" s="200"/>
      <c r="M210" s="200"/>
      <c r="N210" s="53">
        <f t="shared" si="49"/>
        <v>0</v>
      </c>
    </row>
    <row r="211" spans="1:14" x14ac:dyDescent="0.3">
      <c r="A211" s="52" t="s">
        <v>1024</v>
      </c>
      <c r="B211" s="52" t="s">
        <v>813</v>
      </c>
      <c r="C211" s="54">
        <v>70000</v>
      </c>
      <c r="D211" s="54"/>
      <c r="E211" s="54">
        <f t="shared" si="52"/>
        <v>70000</v>
      </c>
      <c r="F211" s="54"/>
      <c r="G211" s="53">
        <f t="shared" si="47"/>
        <v>70000</v>
      </c>
      <c r="H211" s="170">
        <v>-70000</v>
      </c>
      <c r="I211" s="69">
        <f t="shared" si="53"/>
        <v>0</v>
      </c>
      <c r="J211" s="53">
        <f t="shared" si="51"/>
        <v>73220</v>
      </c>
      <c r="K211" s="53">
        <f t="shared" si="50"/>
        <v>76588.12000000001</v>
      </c>
      <c r="L211" s="200"/>
      <c r="M211" s="200"/>
      <c r="N211" s="53">
        <f t="shared" si="49"/>
        <v>0</v>
      </c>
    </row>
    <row r="212" spans="1:14" x14ac:dyDescent="0.3">
      <c r="A212" s="52"/>
      <c r="B212" s="51" t="s">
        <v>943</v>
      </c>
      <c r="C212" s="54"/>
      <c r="D212" s="54"/>
      <c r="E212" s="54">
        <f t="shared" si="52"/>
        <v>0</v>
      </c>
      <c r="F212" s="54"/>
      <c r="G212" s="53">
        <f t="shared" si="47"/>
        <v>0</v>
      </c>
      <c r="H212" s="170"/>
      <c r="I212" s="69">
        <f t="shared" si="53"/>
        <v>0</v>
      </c>
      <c r="J212" s="53">
        <f t="shared" si="51"/>
        <v>0</v>
      </c>
      <c r="K212" s="53">
        <f t="shared" si="50"/>
        <v>0</v>
      </c>
      <c r="L212" s="200"/>
      <c r="M212" s="200"/>
      <c r="N212" s="53">
        <f t="shared" si="49"/>
        <v>0</v>
      </c>
    </row>
    <row r="213" spans="1:14" x14ac:dyDescent="0.3">
      <c r="A213" s="52" t="s">
        <v>1025</v>
      </c>
      <c r="B213" s="52" t="s">
        <v>814</v>
      </c>
      <c r="C213" s="54">
        <v>100000</v>
      </c>
      <c r="D213" s="54"/>
      <c r="E213" s="54">
        <f t="shared" si="52"/>
        <v>100000</v>
      </c>
      <c r="F213" s="54"/>
      <c r="G213" s="53">
        <f t="shared" si="47"/>
        <v>100000</v>
      </c>
      <c r="H213" s="170">
        <v>45000</v>
      </c>
      <c r="I213" s="69">
        <f t="shared" si="53"/>
        <v>145000</v>
      </c>
      <c r="J213" s="53">
        <f t="shared" si="51"/>
        <v>104600</v>
      </c>
      <c r="K213" s="53">
        <f t="shared" si="50"/>
        <v>109411.6</v>
      </c>
      <c r="L213" s="200">
        <v>113400</v>
      </c>
      <c r="M213" s="200"/>
      <c r="N213" s="53">
        <f t="shared" si="49"/>
        <v>31600</v>
      </c>
    </row>
    <row r="214" spans="1:14" x14ac:dyDescent="0.3">
      <c r="A214" s="52" t="s">
        <v>1026</v>
      </c>
      <c r="B214" s="52" t="s">
        <v>815</v>
      </c>
      <c r="C214" s="54">
        <v>60000</v>
      </c>
      <c r="D214" s="54"/>
      <c r="E214" s="54">
        <f t="shared" si="52"/>
        <v>60000</v>
      </c>
      <c r="F214" s="54"/>
      <c r="G214" s="53">
        <f t="shared" si="47"/>
        <v>60000</v>
      </c>
      <c r="H214" s="170">
        <v>70000</v>
      </c>
      <c r="I214" s="69">
        <f t="shared" si="53"/>
        <v>130000</v>
      </c>
      <c r="J214" s="53">
        <f t="shared" si="51"/>
        <v>62760</v>
      </c>
      <c r="K214" s="53">
        <f t="shared" si="50"/>
        <v>65646.960000000006</v>
      </c>
      <c r="L214" s="200">
        <v>56000</v>
      </c>
      <c r="M214" s="200"/>
      <c r="N214" s="53">
        <f t="shared" si="49"/>
        <v>74000</v>
      </c>
    </row>
    <row r="215" spans="1:14" x14ac:dyDescent="0.3">
      <c r="A215" s="52" t="s">
        <v>1027</v>
      </c>
      <c r="B215" s="52" t="s">
        <v>816</v>
      </c>
      <c r="C215" s="54">
        <v>60000</v>
      </c>
      <c r="D215" s="54"/>
      <c r="E215" s="54">
        <f t="shared" si="52"/>
        <v>60000</v>
      </c>
      <c r="F215" s="54"/>
      <c r="G215" s="53">
        <f t="shared" si="47"/>
        <v>60000</v>
      </c>
      <c r="H215" s="170">
        <v>40000</v>
      </c>
      <c r="I215" s="69">
        <f t="shared" si="53"/>
        <v>100000</v>
      </c>
      <c r="J215" s="53">
        <f t="shared" si="51"/>
        <v>62760</v>
      </c>
      <c r="K215" s="53">
        <f t="shared" si="50"/>
        <v>65646.960000000006</v>
      </c>
      <c r="L215" s="200">
        <v>68350</v>
      </c>
      <c r="M215" s="200"/>
      <c r="N215" s="53">
        <f t="shared" si="49"/>
        <v>31650</v>
      </c>
    </row>
    <row r="216" spans="1:14" x14ac:dyDescent="0.3">
      <c r="A216" s="52" t="s">
        <v>1028</v>
      </c>
      <c r="B216" s="52" t="s">
        <v>164</v>
      </c>
      <c r="C216" s="54">
        <v>400000</v>
      </c>
      <c r="D216" s="54"/>
      <c r="E216" s="54">
        <f t="shared" si="52"/>
        <v>400000</v>
      </c>
      <c r="F216" s="54"/>
      <c r="G216" s="53">
        <f t="shared" si="47"/>
        <v>400000</v>
      </c>
      <c r="H216" s="170">
        <f>240000+13762.06</f>
        <v>253762.06</v>
      </c>
      <c r="I216" s="69">
        <f t="shared" si="53"/>
        <v>653762.06000000006</v>
      </c>
      <c r="J216" s="53">
        <f t="shared" si="51"/>
        <v>418400</v>
      </c>
      <c r="K216" s="53">
        <f t="shared" si="50"/>
        <v>437646.4</v>
      </c>
      <c r="L216" s="200">
        <v>196660</v>
      </c>
      <c r="M216" s="200"/>
      <c r="N216" s="53">
        <f t="shared" si="49"/>
        <v>457102.06000000006</v>
      </c>
    </row>
    <row r="217" spans="1:14" x14ac:dyDescent="0.3">
      <c r="A217" s="52"/>
      <c r="B217" s="52"/>
      <c r="C217" s="54"/>
      <c r="D217" s="54"/>
      <c r="E217" s="54">
        <f t="shared" si="52"/>
        <v>0</v>
      </c>
      <c r="F217" s="54"/>
      <c r="G217" s="53">
        <f t="shared" si="47"/>
        <v>0</v>
      </c>
      <c r="H217" s="170"/>
      <c r="I217" s="69">
        <f t="shared" si="53"/>
        <v>0</v>
      </c>
      <c r="J217" s="53">
        <f t="shared" si="51"/>
        <v>0</v>
      </c>
      <c r="K217" s="53">
        <f t="shared" si="50"/>
        <v>0</v>
      </c>
      <c r="L217" s="200"/>
      <c r="M217" s="200"/>
      <c r="N217" s="53">
        <f t="shared" si="49"/>
        <v>0</v>
      </c>
    </row>
    <row r="218" spans="1:14" x14ac:dyDescent="0.3">
      <c r="A218" s="52"/>
      <c r="B218" s="51" t="s">
        <v>817</v>
      </c>
      <c r="C218" s="54"/>
      <c r="D218" s="54"/>
      <c r="E218" s="54">
        <f t="shared" si="52"/>
        <v>0</v>
      </c>
      <c r="F218" s="54"/>
      <c r="G218" s="53">
        <f t="shared" si="47"/>
        <v>0</v>
      </c>
      <c r="H218" s="170"/>
      <c r="I218" s="69">
        <f t="shared" si="53"/>
        <v>0</v>
      </c>
      <c r="J218" s="53">
        <f t="shared" si="51"/>
        <v>0</v>
      </c>
      <c r="K218" s="53">
        <f t="shared" si="50"/>
        <v>0</v>
      </c>
      <c r="L218" s="200"/>
      <c r="M218" s="200"/>
      <c r="N218" s="53">
        <f t="shared" si="49"/>
        <v>0</v>
      </c>
    </row>
    <row r="219" spans="1:14" x14ac:dyDescent="0.3">
      <c r="A219" s="52" t="s">
        <v>1029</v>
      </c>
      <c r="B219" s="52" t="s">
        <v>1030</v>
      </c>
      <c r="C219" s="54">
        <v>60000</v>
      </c>
      <c r="D219" s="54"/>
      <c r="E219" s="54">
        <f t="shared" si="52"/>
        <v>60000</v>
      </c>
      <c r="F219" s="54"/>
      <c r="G219" s="53">
        <f t="shared" si="47"/>
        <v>60000</v>
      </c>
      <c r="H219" s="170">
        <v>-60000</v>
      </c>
      <c r="I219" s="69">
        <f t="shared" si="53"/>
        <v>0</v>
      </c>
      <c r="J219" s="53">
        <f t="shared" si="51"/>
        <v>62760</v>
      </c>
      <c r="K219" s="53">
        <f t="shared" si="50"/>
        <v>65646.960000000006</v>
      </c>
      <c r="L219" s="200"/>
      <c r="M219" s="200"/>
      <c r="N219" s="53">
        <f t="shared" si="49"/>
        <v>0</v>
      </c>
    </row>
    <row r="220" spans="1:14" x14ac:dyDescent="0.3">
      <c r="A220" s="52" t="s">
        <v>1033</v>
      </c>
      <c r="B220" s="52" t="s">
        <v>1031</v>
      </c>
      <c r="C220" s="54">
        <v>90000</v>
      </c>
      <c r="D220" s="54"/>
      <c r="E220" s="54">
        <f t="shared" si="52"/>
        <v>90000</v>
      </c>
      <c r="F220" s="54"/>
      <c r="G220" s="53">
        <f t="shared" si="47"/>
        <v>90000</v>
      </c>
      <c r="H220" s="170">
        <v>-62000</v>
      </c>
      <c r="I220" s="69">
        <f t="shared" si="53"/>
        <v>28000</v>
      </c>
      <c r="J220" s="53">
        <f t="shared" si="51"/>
        <v>94140</v>
      </c>
      <c r="K220" s="53">
        <f t="shared" si="50"/>
        <v>98470.44</v>
      </c>
      <c r="L220" s="200">
        <v>28000</v>
      </c>
      <c r="M220" s="200"/>
      <c r="N220" s="53">
        <f t="shared" si="49"/>
        <v>0</v>
      </c>
    </row>
    <row r="221" spans="1:14" x14ac:dyDescent="0.3">
      <c r="A221" s="52" t="s">
        <v>1034</v>
      </c>
      <c r="B221" s="52" t="s">
        <v>1032</v>
      </c>
      <c r="C221" s="54">
        <v>120000</v>
      </c>
      <c r="D221" s="54"/>
      <c r="E221" s="54">
        <f t="shared" si="52"/>
        <v>120000</v>
      </c>
      <c r="F221" s="54"/>
      <c r="G221" s="53">
        <f t="shared" si="47"/>
        <v>120000</v>
      </c>
      <c r="H221" s="170">
        <v>-83400</v>
      </c>
      <c r="I221" s="69">
        <f t="shared" si="53"/>
        <v>36600</v>
      </c>
      <c r="J221" s="53">
        <f t="shared" si="51"/>
        <v>125520</v>
      </c>
      <c r="K221" s="53">
        <f t="shared" si="50"/>
        <v>131293.92000000001</v>
      </c>
      <c r="L221" s="200">
        <v>36600</v>
      </c>
      <c r="M221" s="200"/>
      <c r="N221" s="53">
        <f t="shared" si="49"/>
        <v>0</v>
      </c>
    </row>
    <row r="222" spans="1:14" x14ac:dyDescent="0.3">
      <c r="A222" s="52"/>
      <c r="B222" s="52"/>
      <c r="C222" s="54"/>
      <c r="D222" s="54"/>
      <c r="E222" s="54">
        <f t="shared" si="52"/>
        <v>0</v>
      </c>
      <c r="F222" s="54"/>
      <c r="G222" s="53">
        <f t="shared" si="47"/>
        <v>0</v>
      </c>
      <c r="H222" s="170"/>
      <c r="I222" s="69">
        <f t="shared" si="53"/>
        <v>0</v>
      </c>
      <c r="J222" s="53">
        <f t="shared" si="51"/>
        <v>0</v>
      </c>
      <c r="K222" s="53">
        <f t="shared" si="50"/>
        <v>0</v>
      </c>
      <c r="L222" s="200"/>
      <c r="M222" s="200"/>
      <c r="N222" s="53">
        <f t="shared" si="49"/>
        <v>0</v>
      </c>
    </row>
    <row r="223" spans="1:14" x14ac:dyDescent="0.3">
      <c r="A223" s="52"/>
      <c r="B223" s="51" t="s">
        <v>942</v>
      </c>
      <c r="C223" s="54"/>
      <c r="D223" s="54"/>
      <c r="E223" s="54">
        <f t="shared" si="52"/>
        <v>0</v>
      </c>
      <c r="F223" s="54"/>
      <c r="G223" s="53">
        <f t="shared" si="47"/>
        <v>0</v>
      </c>
      <c r="H223" s="170"/>
      <c r="I223" s="69">
        <f t="shared" si="53"/>
        <v>0</v>
      </c>
      <c r="J223" s="53">
        <f t="shared" si="51"/>
        <v>0</v>
      </c>
      <c r="K223" s="53">
        <f t="shared" si="50"/>
        <v>0</v>
      </c>
      <c r="L223" s="200"/>
      <c r="M223" s="200"/>
      <c r="N223" s="53">
        <f t="shared" si="49"/>
        <v>0</v>
      </c>
    </row>
    <row r="224" spans="1:14" x14ac:dyDescent="0.3">
      <c r="A224" s="52" t="s">
        <v>1037</v>
      </c>
      <c r="B224" s="52" t="s">
        <v>818</v>
      </c>
      <c r="C224" s="54">
        <v>30000</v>
      </c>
      <c r="D224" s="54"/>
      <c r="E224" s="54">
        <f t="shared" si="52"/>
        <v>30000</v>
      </c>
      <c r="F224" s="54"/>
      <c r="G224" s="53">
        <f t="shared" si="47"/>
        <v>30000</v>
      </c>
      <c r="H224" s="170">
        <v>-15000</v>
      </c>
      <c r="I224" s="69">
        <f t="shared" si="53"/>
        <v>15000</v>
      </c>
      <c r="J224" s="53">
        <f t="shared" si="51"/>
        <v>31380</v>
      </c>
      <c r="K224" s="53">
        <f t="shared" si="50"/>
        <v>32823.480000000003</v>
      </c>
      <c r="L224" s="200"/>
      <c r="M224" s="200">
        <v>15000</v>
      </c>
      <c r="N224" s="53">
        <f t="shared" si="49"/>
        <v>0</v>
      </c>
    </row>
    <row r="225" spans="1:14" x14ac:dyDescent="0.3">
      <c r="A225" s="52" t="s">
        <v>1038</v>
      </c>
      <c r="B225" s="52" t="s">
        <v>1036</v>
      </c>
      <c r="C225" s="54">
        <v>30000</v>
      </c>
      <c r="D225" s="54"/>
      <c r="E225" s="54">
        <f t="shared" si="52"/>
        <v>30000</v>
      </c>
      <c r="F225" s="54"/>
      <c r="G225" s="53">
        <f t="shared" si="47"/>
        <v>30000</v>
      </c>
      <c r="H225" s="170">
        <v>-6400</v>
      </c>
      <c r="I225" s="69">
        <f t="shared" si="53"/>
        <v>23600</v>
      </c>
      <c r="J225" s="53">
        <f t="shared" si="51"/>
        <v>31380</v>
      </c>
      <c r="K225" s="53">
        <f t="shared" si="50"/>
        <v>32823.480000000003</v>
      </c>
      <c r="L225" s="200"/>
      <c r="M225" s="200">
        <v>23600</v>
      </c>
      <c r="N225" s="53">
        <f t="shared" si="49"/>
        <v>0</v>
      </c>
    </row>
    <row r="226" spans="1:14" x14ac:dyDescent="0.3">
      <c r="A226" s="52" t="s">
        <v>1039</v>
      </c>
      <c r="B226" s="52" t="s">
        <v>1035</v>
      </c>
      <c r="C226" s="54">
        <v>70000</v>
      </c>
      <c r="D226" s="54"/>
      <c r="E226" s="54">
        <f t="shared" si="52"/>
        <v>70000</v>
      </c>
      <c r="F226" s="54"/>
      <c r="G226" s="53">
        <f t="shared" si="47"/>
        <v>70000</v>
      </c>
      <c r="H226" s="170">
        <v>-70000</v>
      </c>
      <c r="I226" s="69">
        <f t="shared" si="53"/>
        <v>0</v>
      </c>
      <c r="J226" s="53">
        <f t="shared" si="51"/>
        <v>73220</v>
      </c>
      <c r="K226" s="53">
        <f t="shared" si="50"/>
        <v>76588.12000000001</v>
      </c>
      <c r="L226" s="200"/>
      <c r="M226" s="200"/>
      <c r="N226" s="53">
        <f t="shared" si="49"/>
        <v>0</v>
      </c>
    </row>
    <row r="227" spans="1:14" x14ac:dyDescent="0.3">
      <c r="A227" s="52" t="s">
        <v>1040</v>
      </c>
      <c r="B227" s="52" t="s">
        <v>819</v>
      </c>
      <c r="C227" s="54">
        <v>60000</v>
      </c>
      <c r="D227" s="54"/>
      <c r="E227" s="54">
        <f t="shared" si="52"/>
        <v>60000</v>
      </c>
      <c r="F227" s="54"/>
      <c r="G227" s="53">
        <f t="shared" si="47"/>
        <v>60000</v>
      </c>
      <c r="H227" s="170">
        <v>-36000</v>
      </c>
      <c r="I227" s="69">
        <f t="shared" si="53"/>
        <v>24000</v>
      </c>
      <c r="J227" s="53">
        <f t="shared" si="51"/>
        <v>62760</v>
      </c>
      <c r="K227" s="53">
        <f t="shared" si="50"/>
        <v>65646.960000000006</v>
      </c>
      <c r="L227" s="200">
        <v>24000</v>
      </c>
      <c r="M227" s="200"/>
      <c r="N227" s="53">
        <f t="shared" si="49"/>
        <v>0</v>
      </c>
    </row>
    <row r="228" spans="1:14" x14ac:dyDescent="0.3">
      <c r="A228" s="52"/>
      <c r="B228" s="51" t="s">
        <v>941</v>
      </c>
      <c r="C228" s="54"/>
      <c r="D228" s="54"/>
      <c r="E228" s="54">
        <f t="shared" si="52"/>
        <v>0</v>
      </c>
      <c r="F228" s="54"/>
      <c r="G228" s="53">
        <f t="shared" si="47"/>
        <v>0</v>
      </c>
      <c r="H228" s="170"/>
      <c r="I228" s="69">
        <f t="shared" si="53"/>
        <v>0</v>
      </c>
      <c r="J228" s="53">
        <f t="shared" si="51"/>
        <v>0</v>
      </c>
      <c r="K228" s="53">
        <f t="shared" si="50"/>
        <v>0</v>
      </c>
      <c r="L228" s="200"/>
      <c r="M228" s="200"/>
      <c r="N228" s="53">
        <f t="shared" si="49"/>
        <v>0</v>
      </c>
    </row>
    <row r="229" spans="1:14" x14ac:dyDescent="0.3">
      <c r="A229" s="52" t="s">
        <v>1041</v>
      </c>
      <c r="B229" s="52" t="s">
        <v>820</v>
      </c>
      <c r="C229" s="54">
        <v>30000</v>
      </c>
      <c r="D229" s="54"/>
      <c r="E229" s="54">
        <f t="shared" si="52"/>
        <v>30000</v>
      </c>
      <c r="F229" s="54"/>
      <c r="G229" s="53">
        <f t="shared" si="47"/>
        <v>30000</v>
      </c>
      <c r="H229" s="170"/>
      <c r="I229" s="69">
        <f t="shared" si="53"/>
        <v>30000</v>
      </c>
      <c r="J229" s="53">
        <f t="shared" si="51"/>
        <v>31380</v>
      </c>
      <c r="K229" s="53">
        <f t="shared" si="50"/>
        <v>32823.480000000003</v>
      </c>
      <c r="L229" s="200"/>
      <c r="M229" s="200"/>
      <c r="N229" s="53">
        <f t="shared" si="49"/>
        <v>30000</v>
      </c>
    </row>
    <row r="230" spans="1:14" x14ac:dyDescent="0.3">
      <c r="A230" s="52" t="s">
        <v>1042</v>
      </c>
      <c r="B230" s="52" t="s">
        <v>821</v>
      </c>
      <c r="C230" s="54">
        <v>30000</v>
      </c>
      <c r="D230" s="54"/>
      <c r="E230" s="54">
        <f t="shared" si="52"/>
        <v>30000</v>
      </c>
      <c r="F230" s="54"/>
      <c r="G230" s="53">
        <f t="shared" si="47"/>
        <v>30000</v>
      </c>
      <c r="H230" s="170"/>
      <c r="I230" s="69">
        <f t="shared" si="53"/>
        <v>30000</v>
      </c>
      <c r="J230" s="53">
        <f t="shared" si="51"/>
        <v>31380</v>
      </c>
      <c r="K230" s="53">
        <f t="shared" si="50"/>
        <v>32823.480000000003</v>
      </c>
      <c r="L230" s="200"/>
      <c r="M230" s="200"/>
      <c r="N230" s="53">
        <f t="shared" si="49"/>
        <v>30000</v>
      </c>
    </row>
    <row r="231" spans="1:14" x14ac:dyDescent="0.3">
      <c r="A231" s="52" t="s">
        <v>1043</v>
      </c>
      <c r="B231" s="52" t="s">
        <v>822</v>
      </c>
      <c r="C231" s="54">
        <v>30000</v>
      </c>
      <c r="D231" s="54"/>
      <c r="E231" s="54">
        <f t="shared" si="52"/>
        <v>30000</v>
      </c>
      <c r="F231" s="54"/>
      <c r="G231" s="53">
        <f t="shared" si="47"/>
        <v>30000</v>
      </c>
      <c r="H231" s="170"/>
      <c r="I231" s="69">
        <f t="shared" si="53"/>
        <v>30000</v>
      </c>
      <c r="J231" s="53">
        <f t="shared" si="51"/>
        <v>31380</v>
      </c>
      <c r="K231" s="53">
        <f t="shared" si="50"/>
        <v>32823.480000000003</v>
      </c>
      <c r="L231" s="200"/>
      <c r="M231" s="200"/>
      <c r="N231" s="53">
        <f t="shared" si="49"/>
        <v>30000</v>
      </c>
    </row>
    <row r="232" spans="1:14" x14ac:dyDescent="0.3">
      <c r="A232" s="52"/>
      <c r="B232" s="51" t="s">
        <v>940</v>
      </c>
      <c r="C232" s="54"/>
      <c r="D232" s="54"/>
      <c r="E232" s="54">
        <f t="shared" si="52"/>
        <v>0</v>
      </c>
      <c r="F232" s="54"/>
      <c r="G232" s="53">
        <f t="shared" si="47"/>
        <v>0</v>
      </c>
      <c r="H232" s="170"/>
      <c r="I232" s="69">
        <f t="shared" si="53"/>
        <v>0</v>
      </c>
      <c r="J232" s="53">
        <f t="shared" si="51"/>
        <v>0</v>
      </c>
      <c r="K232" s="53">
        <f t="shared" si="50"/>
        <v>0</v>
      </c>
      <c r="L232" s="200"/>
      <c r="M232" s="200"/>
      <c r="N232" s="53">
        <f t="shared" si="49"/>
        <v>0</v>
      </c>
    </row>
    <row r="233" spans="1:14" x14ac:dyDescent="0.3">
      <c r="A233" s="52" t="s">
        <v>1044</v>
      </c>
      <c r="B233" s="52" t="s">
        <v>823</v>
      </c>
      <c r="C233" s="54">
        <v>60000</v>
      </c>
      <c r="D233" s="54"/>
      <c r="E233" s="54">
        <f t="shared" si="52"/>
        <v>60000</v>
      </c>
      <c r="F233" s="54"/>
      <c r="G233" s="53">
        <f t="shared" si="47"/>
        <v>60000</v>
      </c>
      <c r="H233" s="170">
        <v>-1200</v>
      </c>
      <c r="I233" s="69">
        <f t="shared" si="53"/>
        <v>58800</v>
      </c>
      <c r="J233" s="53">
        <f t="shared" si="51"/>
        <v>62760</v>
      </c>
      <c r="K233" s="53">
        <f t="shared" si="50"/>
        <v>65646.960000000006</v>
      </c>
      <c r="L233" s="200">
        <v>58800</v>
      </c>
      <c r="M233" s="200"/>
      <c r="N233" s="53">
        <f t="shared" si="49"/>
        <v>0</v>
      </c>
    </row>
    <row r="234" spans="1:14" x14ac:dyDescent="0.3">
      <c r="A234" s="52" t="s">
        <v>1045</v>
      </c>
      <c r="B234" s="52" t="s">
        <v>824</v>
      </c>
      <c r="C234" s="54">
        <v>30000</v>
      </c>
      <c r="D234" s="54"/>
      <c r="E234" s="54">
        <f t="shared" si="52"/>
        <v>30000</v>
      </c>
      <c r="F234" s="54"/>
      <c r="G234" s="53">
        <f t="shared" si="47"/>
        <v>30000</v>
      </c>
      <c r="H234" s="170">
        <v>27600</v>
      </c>
      <c r="I234" s="69">
        <f t="shared" si="53"/>
        <v>57600</v>
      </c>
      <c r="J234" s="53">
        <f t="shared" si="51"/>
        <v>31380</v>
      </c>
      <c r="K234" s="53">
        <f t="shared" si="50"/>
        <v>32823.480000000003</v>
      </c>
      <c r="L234" s="200">
        <v>57600</v>
      </c>
      <c r="M234" s="200"/>
      <c r="N234" s="53">
        <f t="shared" si="49"/>
        <v>0</v>
      </c>
    </row>
    <row r="235" spans="1:14" x14ac:dyDescent="0.3">
      <c r="A235" s="52" t="s">
        <v>1046</v>
      </c>
      <c r="B235" s="52" t="s">
        <v>825</v>
      </c>
      <c r="C235" s="54">
        <v>50000</v>
      </c>
      <c r="D235" s="54"/>
      <c r="E235" s="54">
        <f t="shared" si="52"/>
        <v>50000</v>
      </c>
      <c r="F235" s="54"/>
      <c r="G235" s="53">
        <f t="shared" si="47"/>
        <v>50000</v>
      </c>
      <c r="H235" s="170">
        <v>-10300</v>
      </c>
      <c r="I235" s="69">
        <f t="shared" si="53"/>
        <v>39700</v>
      </c>
      <c r="J235" s="53">
        <f t="shared" si="51"/>
        <v>52300</v>
      </c>
      <c r="K235" s="53">
        <f t="shared" si="50"/>
        <v>54705.8</v>
      </c>
      <c r="L235" s="200">
        <v>39700</v>
      </c>
      <c r="M235" s="200"/>
      <c r="N235" s="53">
        <f t="shared" si="49"/>
        <v>0</v>
      </c>
    </row>
    <row r="236" spans="1:14" x14ac:dyDescent="0.3">
      <c r="A236" s="52"/>
      <c r="B236" s="51" t="s">
        <v>826</v>
      </c>
      <c r="C236" s="54"/>
      <c r="D236" s="54"/>
      <c r="E236" s="54">
        <f t="shared" si="52"/>
        <v>0</v>
      </c>
      <c r="F236" s="54"/>
      <c r="G236" s="53">
        <f t="shared" si="47"/>
        <v>0</v>
      </c>
      <c r="H236" s="170"/>
      <c r="I236" s="69">
        <f t="shared" si="53"/>
        <v>0</v>
      </c>
      <c r="J236" s="53">
        <f t="shared" si="51"/>
        <v>0</v>
      </c>
      <c r="K236" s="53">
        <f t="shared" si="50"/>
        <v>0</v>
      </c>
      <c r="L236" s="200"/>
      <c r="M236" s="200"/>
      <c r="N236" s="53">
        <f t="shared" si="49"/>
        <v>0</v>
      </c>
    </row>
    <row r="237" spans="1:14" x14ac:dyDescent="0.3">
      <c r="A237" s="52" t="s">
        <v>1056</v>
      </c>
      <c r="B237" s="52" t="s">
        <v>1048</v>
      </c>
      <c r="C237" s="54">
        <v>50000</v>
      </c>
      <c r="D237" s="54"/>
      <c r="E237" s="54">
        <f t="shared" si="52"/>
        <v>50000</v>
      </c>
      <c r="F237" s="54"/>
      <c r="G237" s="53">
        <f t="shared" si="47"/>
        <v>50000</v>
      </c>
      <c r="H237" s="170">
        <v>-50000</v>
      </c>
      <c r="I237" s="69">
        <f t="shared" si="53"/>
        <v>0</v>
      </c>
      <c r="J237" s="53">
        <f t="shared" si="51"/>
        <v>52300</v>
      </c>
      <c r="K237" s="53">
        <f t="shared" si="50"/>
        <v>54705.8</v>
      </c>
      <c r="L237" s="200"/>
      <c r="M237" s="200"/>
      <c r="N237" s="53">
        <f t="shared" si="49"/>
        <v>0</v>
      </c>
    </row>
    <row r="238" spans="1:14" x14ac:dyDescent="0.3">
      <c r="A238" s="52" t="s">
        <v>1047</v>
      </c>
      <c r="B238" s="52" t="s">
        <v>1049</v>
      </c>
      <c r="C238" s="54">
        <v>60000</v>
      </c>
      <c r="D238" s="54"/>
      <c r="E238" s="54">
        <f t="shared" si="52"/>
        <v>60000</v>
      </c>
      <c r="F238" s="54"/>
      <c r="G238" s="53">
        <f t="shared" si="47"/>
        <v>60000</v>
      </c>
      <c r="H238" s="170">
        <v>-60000</v>
      </c>
      <c r="I238" s="69">
        <f t="shared" si="53"/>
        <v>0</v>
      </c>
      <c r="J238" s="53">
        <f t="shared" si="51"/>
        <v>62760</v>
      </c>
      <c r="K238" s="53">
        <f t="shared" si="50"/>
        <v>65646.960000000006</v>
      </c>
      <c r="L238" s="200"/>
      <c r="M238" s="200"/>
      <c r="N238" s="53">
        <f t="shared" si="49"/>
        <v>0</v>
      </c>
    </row>
    <row r="239" spans="1:14" x14ac:dyDescent="0.3">
      <c r="A239" s="52" t="s">
        <v>1053</v>
      </c>
      <c r="B239" s="52" t="s">
        <v>1050</v>
      </c>
      <c r="C239" s="54">
        <v>80000</v>
      </c>
      <c r="D239" s="54"/>
      <c r="E239" s="54">
        <f t="shared" si="52"/>
        <v>80000</v>
      </c>
      <c r="F239" s="54"/>
      <c r="G239" s="53">
        <f t="shared" si="47"/>
        <v>80000</v>
      </c>
      <c r="H239" s="170">
        <v>-80000</v>
      </c>
      <c r="I239" s="69">
        <f t="shared" si="53"/>
        <v>0</v>
      </c>
      <c r="J239" s="53">
        <f t="shared" si="51"/>
        <v>83680</v>
      </c>
      <c r="K239" s="53">
        <f t="shared" si="50"/>
        <v>87529.279999999999</v>
      </c>
      <c r="L239" s="200"/>
      <c r="M239" s="200"/>
      <c r="N239" s="53">
        <f t="shared" si="49"/>
        <v>0</v>
      </c>
    </row>
    <row r="240" spans="1:14" x14ac:dyDescent="0.3">
      <c r="A240" s="52" t="s">
        <v>1055</v>
      </c>
      <c r="B240" s="52" t="s">
        <v>1051</v>
      </c>
      <c r="C240" s="54">
        <v>40000</v>
      </c>
      <c r="D240" s="54"/>
      <c r="E240" s="54">
        <f t="shared" si="52"/>
        <v>40000</v>
      </c>
      <c r="F240" s="54"/>
      <c r="G240" s="53">
        <f t="shared" si="47"/>
        <v>40000</v>
      </c>
      <c r="H240" s="170">
        <v>-40000</v>
      </c>
      <c r="I240" s="69">
        <f t="shared" si="53"/>
        <v>0</v>
      </c>
      <c r="J240" s="53">
        <f t="shared" si="51"/>
        <v>41840</v>
      </c>
      <c r="K240" s="53">
        <f t="shared" si="50"/>
        <v>43764.639999999999</v>
      </c>
      <c r="L240" s="200"/>
      <c r="M240" s="200"/>
      <c r="N240" s="53">
        <f t="shared" si="49"/>
        <v>0</v>
      </c>
    </row>
    <row r="241" spans="1:14" ht="14.5" thickBot="1" x14ac:dyDescent="0.35">
      <c r="A241" s="52" t="s">
        <v>1054</v>
      </c>
      <c r="B241" s="52" t="s">
        <v>1052</v>
      </c>
      <c r="C241" s="54">
        <v>30000</v>
      </c>
      <c r="D241" s="54"/>
      <c r="E241" s="54">
        <f t="shared" si="52"/>
        <v>30000</v>
      </c>
      <c r="F241" s="54"/>
      <c r="G241" s="53">
        <f t="shared" ref="G241" si="54">E241+F241</f>
        <v>30000</v>
      </c>
      <c r="H241" s="170">
        <v>-30000</v>
      </c>
      <c r="I241" s="69">
        <f t="shared" ref="I241" si="55">G241+H241</f>
        <v>0</v>
      </c>
      <c r="J241" s="53">
        <f t="shared" si="51"/>
        <v>31380</v>
      </c>
      <c r="K241" s="53">
        <f t="shared" si="50"/>
        <v>32823.480000000003</v>
      </c>
      <c r="L241" s="200"/>
      <c r="M241" s="200"/>
      <c r="N241" s="53">
        <f t="shared" ref="N241" si="56">I241-L241-M241</f>
        <v>0</v>
      </c>
    </row>
    <row r="242" spans="1:14" ht="14.5" thickBot="1" x14ac:dyDescent="0.35">
      <c r="A242" s="57" t="s">
        <v>678</v>
      </c>
      <c r="B242" s="57"/>
      <c r="C242" s="92">
        <f>SUM(C177:C241)</f>
        <v>3215000</v>
      </c>
      <c r="D242" s="92">
        <f>SUM(D177:D241)</f>
        <v>0</v>
      </c>
      <c r="E242" s="92">
        <f>SUM(E177:E241)</f>
        <v>3215000</v>
      </c>
      <c r="F242" s="92">
        <f t="shared" ref="F242:N242" si="57">SUM(F177:F241)</f>
        <v>0</v>
      </c>
      <c r="G242" s="92">
        <f t="shared" si="57"/>
        <v>3215000</v>
      </c>
      <c r="H242" s="181">
        <f t="shared" si="57"/>
        <v>-698537.94</v>
      </c>
      <c r="I242" s="92">
        <f t="shared" si="57"/>
        <v>2516462.06</v>
      </c>
      <c r="J242" s="92">
        <f t="shared" si="57"/>
        <v>3362890</v>
      </c>
      <c r="K242" s="92">
        <f t="shared" si="57"/>
        <v>3517582.9399999995</v>
      </c>
      <c r="L242" s="92">
        <f t="shared" si="57"/>
        <v>949535</v>
      </c>
      <c r="M242" s="92">
        <f t="shared" si="57"/>
        <v>38600</v>
      </c>
      <c r="N242" s="92">
        <f t="shared" si="57"/>
        <v>1528327.06</v>
      </c>
    </row>
    <row r="243" spans="1:14" ht="14.5" thickTop="1" x14ac:dyDescent="0.3">
      <c r="A243" s="61"/>
      <c r="B243" s="60"/>
      <c r="C243" s="54"/>
      <c r="D243" s="54"/>
      <c r="E243" s="54">
        <f t="shared" si="52"/>
        <v>0</v>
      </c>
      <c r="F243" s="54"/>
      <c r="G243" s="54"/>
      <c r="H243" s="180"/>
      <c r="I243" s="54"/>
      <c r="J243" s="62"/>
      <c r="K243" s="62"/>
      <c r="L243" s="200"/>
      <c r="M243" s="200"/>
      <c r="N243" s="200"/>
    </row>
    <row r="244" spans="1:14" x14ac:dyDescent="0.3">
      <c r="A244" s="51" t="s">
        <v>79</v>
      </c>
      <c r="B244" s="52"/>
      <c r="C244" s="54"/>
      <c r="D244" s="54"/>
      <c r="E244" s="54">
        <f t="shared" si="52"/>
        <v>0</v>
      </c>
      <c r="F244" s="54"/>
      <c r="G244" s="54"/>
      <c r="H244" s="180"/>
      <c r="I244" s="54"/>
      <c r="J244" s="53"/>
      <c r="K244" s="53"/>
      <c r="L244" s="200"/>
      <c r="M244" s="200"/>
      <c r="N244" s="200"/>
    </row>
    <row r="245" spans="1:14" x14ac:dyDescent="0.3">
      <c r="A245" s="52"/>
      <c r="B245" s="52" t="s">
        <v>185</v>
      </c>
      <c r="C245" s="54">
        <v>0</v>
      </c>
      <c r="D245" s="54"/>
      <c r="E245" s="54">
        <f t="shared" si="52"/>
        <v>0</v>
      </c>
      <c r="F245" s="54"/>
      <c r="G245" s="53">
        <f t="shared" ref="G245:G253" si="58">E245+F245</f>
        <v>0</v>
      </c>
      <c r="H245" s="170"/>
      <c r="I245" s="69">
        <f t="shared" ref="I245:I253" si="59">G245+H245</f>
        <v>0</v>
      </c>
      <c r="J245" s="53"/>
      <c r="K245" s="53"/>
      <c r="L245" s="200"/>
      <c r="M245" s="200"/>
      <c r="N245" s="53">
        <f t="shared" ref="N245:N253" si="60">I245-L245-M245</f>
        <v>0</v>
      </c>
    </row>
    <row r="246" spans="1:14" x14ac:dyDescent="0.3">
      <c r="A246" s="52"/>
      <c r="B246" s="52" t="s">
        <v>176</v>
      </c>
      <c r="C246" s="54">
        <v>0</v>
      </c>
      <c r="D246" s="54"/>
      <c r="E246" s="54">
        <f t="shared" si="52"/>
        <v>0</v>
      </c>
      <c r="F246" s="54"/>
      <c r="G246" s="53">
        <f t="shared" si="58"/>
        <v>0</v>
      </c>
      <c r="H246" s="170"/>
      <c r="I246" s="69">
        <f t="shared" si="59"/>
        <v>0</v>
      </c>
      <c r="J246" s="53"/>
      <c r="K246" s="53"/>
      <c r="L246" s="200"/>
      <c r="M246" s="200"/>
      <c r="N246" s="53">
        <f t="shared" si="60"/>
        <v>0</v>
      </c>
    </row>
    <row r="247" spans="1:14" x14ac:dyDescent="0.3">
      <c r="A247" s="52"/>
      <c r="B247" s="52" t="s">
        <v>182</v>
      </c>
      <c r="C247" s="54">
        <v>0</v>
      </c>
      <c r="D247" s="54"/>
      <c r="E247" s="54">
        <f t="shared" si="52"/>
        <v>0</v>
      </c>
      <c r="F247" s="54"/>
      <c r="G247" s="53">
        <f t="shared" si="58"/>
        <v>0</v>
      </c>
      <c r="H247" s="170"/>
      <c r="I247" s="69">
        <f t="shared" si="59"/>
        <v>0</v>
      </c>
      <c r="J247" s="53"/>
      <c r="K247" s="53"/>
      <c r="L247" s="200"/>
      <c r="M247" s="200"/>
      <c r="N247" s="53">
        <f t="shared" si="60"/>
        <v>0</v>
      </c>
    </row>
    <row r="248" spans="1:14" x14ac:dyDescent="0.3">
      <c r="A248" s="52"/>
      <c r="B248" s="52" t="s">
        <v>59</v>
      </c>
      <c r="C248" s="54">
        <v>0</v>
      </c>
      <c r="D248" s="54"/>
      <c r="E248" s="54">
        <f t="shared" si="52"/>
        <v>0</v>
      </c>
      <c r="F248" s="54"/>
      <c r="G248" s="53">
        <f t="shared" si="58"/>
        <v>0</v>
      </c>
      <c r="H248" s="170"/>
      <c r="I248" s="69">
        <f t="shared" si="59"/>
        <v>0</v>
      </c>
      <c r="J248" s="53"/>
      <c r="K248" s="53"/>
      <c r="L248" s="200"/>
      <c r="M248" s="200"/>
      <c r="N248" s="53">
        <f t="shared" si="60"/>
        <v>0</v>
      </c>
    </row>
    <row r="249" spans="1:14" x14ac:dyDescent="0.3">
      <c r="A249" s="52"/>
      <c r="B249" s="52" t="s">
        <v>168</v>
      </c>
      <c r="C249" s="54">
        <v>0</v>
      </c>
      <c r="D249" s="54"/>
      <c r="E249" s="54">
        <f t="shared" si="52"/>
        <v>0</v>
      </c>
      <c r="F249" s="54"/>
      <c r="G249" s="53">
        <f t="shared" si="58"/>
        <v>0</v>
      </c>
      <c r="H249" s="170"/>
      <c r="I249" s="69">
        <f t="shared" si="59"/>
        <v>0</v>
      </c>
      <c r="J249" s="53"/>
      <c r="K249" s="53"/>
      <c r="L249" s="200"/>
      <c r="M249" s="200"/>
      <c r="N249" s="53">
        <f t="shared" si="60"/>
        <v>0</v>
      </c>
    </row>
    <row r="250" spans="1:14" x14ac:dyDescent="0.3">
      <c r="A250" s="52"/>
      <c r="B250" s="52" t="s">
        <v>173</v>
      </c>
      <c r="C250" s="54">
        <v>0</v>
      </c>
      <c r="D250" s="54"/>
      <c r="E250" s="54">
        <f t="shared" si="52"/>
        <v>0</v>
      </c>
      <c r="F250" s="54"/>
      <c r="G250" s="53">
        <f t="shared" si="58"/>
        <v>0</v>
      </c>
      <c r="H250" s="170"/>
      <c r="I250" s="69">
        <f t="shared" si="59"/>
        <v>0</v>
      </c>
      <c r="J250" s="53"/>
      <c r="K250" s="53"/>
      <c r="L250" s="200"/>
      <c r="M250" s="200"/>
      <c r="N250" s="53">
        <f t="shared" si="60"/>
        <v>0</v>
      </c>
    </row>
    <row r="251" spans="1:14" x14ac:dyDescent="0.3">
      <c r="A251" s="52"/>
      <c r="B251" s="52" t="s">
        <v>192</v>
      </c>
      <c r="C251" s="54">
        <v>0</v>
      </c>
      <c r="D251" s="54"/>
      <c r="E251" s="54">
        <f t="shared" si="52"/>
        <v>0</v>
      </c>
      <c r="F251" s="54"/>
      <c r="G251" s="53">
        <f t="shared" si="58"/>
        <v>0</v>
      </c>
      <c r="H251" s="170"/>
      <c r="I251" s="69">
        <f t="shared" si="59"/>
        <v>0</v>
      </c>
      <c r="J251" s="53"/>
      <c r="K251" s="53"/>
      <c r="L251" s="200"/>
      <c r="M251" s="200"/>
      <c r="N251" s="53">
        <f t="shared" si="60"/>
        <v>0</v>
      </c>
    </row>
    <row r="252" spans="1:14" x14ac:dyDescent="0.3">
      <c r="A252" s="52"/>
      <c r="B252" s="52" t="s">
        <v>57</v>
      </c>
      <c r="C252" s="54">
        <v>0</v>
      </c>
      <c r="D252" s="54"/>
      <c r="E252" s="54">
        <f t="shared" si="52"/>
        <v>0</v>
      </c>
      <c r="F252" s="54"/>
      <c r="G252" s="53">
        <f t="shared" si="58"/>
        <v>0</v>
      </c>
      <c r="H252" s="170"/>
      <c r="I252" s="69">
        <f t="shared" si="59"/>
        <v>0</v>
      </c>
      <c r="J252" s="53"/>
      <c r="K252" s="53"/>
      <c r="L252" s="200"/>
      <c r="M252" s="200"/>
      <c r="N252" s="53">
        <f t="shared" si="60"/>
        <v>0</v>
      </c>
    </row>
    <row r="253" spans="1:14" x14ac:dyDescent="0.3">
      <c r="A253" s="52"/>
      <c r="B253" s="52" t="s">
        <v>179</v>
      </c>
      <c r="C253" s="54">
        <v>0</v>
      </c>
      <c r="D253" s="54"/>
      <c r="E253" s="54">
        <f t="shared" si="52"/>
        <v>0</v>
      </c>
      <c r="F253" s="54"/>
      <c r="G253" s="53">
        <f t="shared" si="58"/>
        <v>0</v>
      </c>
      <c r="H253" s="170"/>
      <c r="I253" s="69">
        <f t="shared" si="59"/>
        <v>0</v>
      </c>
      <c r="J253" s="53"/>
      <c r="K253" s="53"/>
      <c r="L253" s="200"/>
      <c r="M253" s="200"/>
      <c r="N253" s="53">
        <f t="shared" si="60"/>
        <v>0</v>
      </c>
    </row>
    <row r="254" spans="1:14" ht="14.5" thickBot="1" x14ac:dyDescent="0.35">
      <c r="A254" s="55"/>
      <c r="B254" s="55"/>
      <c r="C254" s="68"/>
      <c r="D254" s="68"/>
      <c r="E254" s="54">
        <f t="shared" si="52"/>
        <v>0</v>
      </c>
      <c r="F254" s="68"/>
      <c r="G254" s="68"/>
      <c r="H254" s="183"/>
      <c r="I254" s="68"/>
      <c r="J254" s="69"/>
      <c r="K254" s="69"/>
      <c r="L254" s="200"/>
      <c r="M254" s="200"/>
      <c r="N254" s="200"/>
    </row>
    <row r="255" spans="1:14" ht="14.5" thickBot="1" x14ac:dyDescent="0.35">
      <c r="A255" s="57" t="s">
        <v>203</v>
      </c>
      <c r="B255" s="57"/>
      <c r="C255" s="92">
        <f t="shared" ref="C255:G255" si="61">SUM(C245:C254)</f>
        <v>0</v>
      </c>
      <c r="D255" s="92">
        <f t="shared" si="61"/>
        <v>0</v>
      </c>
      <c r="E255" s="92">
        <f t="shared" si="61"/>
        <v>0</v>
      </c>
      <c r="F255" s="92">
        <f t="shared" si="61"/>
        <v>0</v>
      </c>
      <c r="G255" s="92">
        <f t="shared" si="61"/>
        <v>0</v>
      </c>
      <c r="H255" s="181"/>
      <c r="I255" s="92"/>
      <c r="J255" s="92">
        <f t="shared" ref="J255:N255" si="62">SUM(J245:J254)</f>
        <v>0</v>
      </c>
      <c r="K255" s="92">
        <f t="shared" si="62"/>
        <v>0</v>
      </c>
      <c r="L255" s="92">
        <f t="shared" si="62"/>
        <v>0</v>
      </c>
      <c r="M255" s="92">
        <f t="shared" si="62"/>
        <v>0</v>
      </c>
      <c r="N255" s="92">
        <f t="shared" si="62"/>
        <v>0</v>
      </c>
    </row>
    <row r="256" spans="1:14" ht="15" thickTop="1" thickBot="1" x14ac:dyDescent="0.35">
      <c r="A256" s="73"/>
      <c r="B256" s="74"/>
      <c r="C256" s="68"/>
      <c r="D256" s="68"/>
      <c r="E256" s="54">
        <f t="shared" si="52"/>
        <v>0</v>
      </c>
      <c r="F256" s="68"/>
      <c r="G256" s="68"/>
      <c r="H256" s="183"/>
      <c r="I256" s="68"/>
      <c r="J256" s="79"/>
      <c r="K256" s="79"/>
      <c r="L256" s="200"/>
      <c r="M256" s="200"/>
      <c r="N256" s="200"/>
    </row>
    <row r="257" spans="1:14" ht="14.5" thickBot="1" x14ac:dyDescent="0.35">
      <c r="A257" s="70" t="s">
        <v>834</v>
      </c>
      <c r="B257" s="70"/>
      <c r="C257" s="71">
        <f>C255+C242</f>
        <v>3215000</v>
      </c>
      <c r="D257" s="71">
        <f t="shared" ref="D257:N257" si="63">D255+D242</f>
        <v>0</v>
      </c>
      <c r="E257" s="71">
        <f t="shared" si="63"/>
        <v>3215000</v>
      </c>
      <c r="F257" s="71">
        <f t="shared" si="63"/>
        <v>0</v>
      </c>
      <c r="G257" s="71">
        <f t="shared" si="63"/>
        <v>3215000</v>
      </c>
      <c r="H257" s="184">
        <f t="shared" si="63"/>
        <v>-698537.94</v>
      </c>
      <c r="I257" s="71">
        <f t="shared" si="63"/>
        <v>2516462.06</v>
      </c>
      <c r="J257" s="71">
        <f t="shared" si="63"/>
        <v>3362890</v>
      </c>
      <c r="K257" s="71">
        <f t="shared" si="63"/>
        <v>3517582.9399999995</v>
      </c>
      <c r="L257" s="71">
        <f t="shared" si="63"/>
        <v>949535</v>
      </c>
      <c r="M257" s="71">
        <f t="shared" si="63"/>
        <v>38600</v>
      </c>
      <c r="N257" s="71">
        <f t="shared" si="63"/>
        <v>1528327.06</v>
      </c>
    </row>
    <row r="258" spans="1:14" ht="14.5" thickTop="1" x14ac:dyDescent="0.3">
      <c r="A258" s="61"/>
      <c r="B258" s="60"/>
      <c r="C258" s="54"/>
      <c r="D258" s="54"/>
      <c r="E258" s="54">
        <f t="shared" si="52"/>
        <v>0</v>
      </c>
      <c r="F258" s="54"/>
      <c r="G258" s="54"/>
      <c r="H258" s="180"/>
      <c r="I258" s="54"/>
      <c r="J258" s="62"/>
      <c r="K258" s="62"/>
      <c r="L258" s="200"/>
      <c r="M258" s="200"/>
      <c r="N258" s="200"/>
    </row>
    <row r="259" spans="1:14" x14ac:dyDescent="0.3">
      <c r="A259" s="52"/>
      <c r="B259" s="52"/>
      <c r="C259" s="54"/>
      <c r="D259" s="54"/>
      <c r="E259" s="54">
        <f t="shared" si="52"/>
        <v>0</v>
      </c>
      <c r="F259" s="54"/>
      <c r="G259" s="54"/>
      <c r="H259" s="180"/>
      <c r="I259" s="54"/>
      <c r="J259" s="53"/>
      <c r="K259" s="53"/>
      <c r="L259" s="200"/>
      <c r="M259" s="200"/>
      <c r="N259" s="200"/>
    </row>
    <row r="260" spans="1:14" x14ac:dyDescent="0.3">
      <c r="A260" s="51" t="s">
        <v>698</v>
      </c>
      <c r="B260" s="52"/>
      <c r="C260" s="54"/>
      <c r="D260" s="54"/>
      <c r="E260" s="54">
        <f t="shared" si="52"/>
        <v>0</v>
      </c>
      <c r="F260" s="54"/>
      <c r="G260" s="54"/>
      <c r="H260" s="180"/>
      <c r="I260" s="54"/>
      <c r="J260" s="53"/>
      <c r="K260" s="53"/>
      <c r="L260" s="200"/>
      <c r="M260" s="200"/>
      <c r="N260" s="200"/>
    </row>
    <row r="261" spans="1:14" ht="24" customHeight="1" x14ac:dyDescent="0.3">
      <c r="A261" s="52"/>
      <c r="B261" s="51" t="s">
        <v>466</v>
      </c>
      <c r="C261" s="54">
        <v>0</v>
      </c>
      <c r="D261" s="54"/>
      <c r="E261" s="54">
        <f t="shared" si="52"/>
        <v>0</v>
      </c>
      <c r="F261" s="54"/>
      <c r="G261" s="54"/>
      <c r="H261" s="180"/>
      <c r="I261" s="54"/>
      <c r="J261" s="53">
        <f t="shared" ref="J261:J271" si="64">C261*104.6%</f>
        <v>0</v>
      </c>
      <c r="K261" s="53">
        <f t="shared" ref="K261:K269" si="65">J261*104.6%</f>
        <v>0</v>
      </c>
      <c r="L261" s="200"/>
      <c r="M261" s="200"/>
      <c r="N261" s="200"/>
    </row>
    <row r="262" spans="1:14" x14ac:dyDescent="0.3">
      <c r="A262" s="52" t="s">
        <v>114</v>
      </c>
      <c r="B262" s="52" t="s">
        <v>115</v>
      </c>
      <c r="C262" s="54">
        <v>900000</v>
      </c>
      <c r="D262" s="54"/>
      <c r="E262" s="54">
        <f t="shared" si="52"/>
        <v>900000</v>
      </c>
      <c r="F262" s="54"/>
      <c r="G262" s="53">
        <f t="shared" ref="G262:G281" si="66">E262+F262</f>
        <v>900000</v>
      </c>
      <c r="H262" s="170">
        <f>-561588.33718431-66000-100000</f>
        <v>-727588.33718430996</v>
      </c>
      <c r="I262" s="69">
        <f t="shared" ref="I262:I280" si="67">G262+H262</f>
        <v>172411.66281569004</v>
      </c>
      <c r="J262" s="53">
        <f t="shared" si="64"/>
        <v>941400</v>
      </c>
      <c r="K262" s="53">
        <f t="shared" si="65"/>
        <v>984704.4</v>
      </c>
      <c r="L262" s="200"/>
      <c r="M262" s="200"/>
      <c r="N262" s="53">
        <f t="shared" ref="N262:N281" si="68">I262-L262-M262</f>
        <v>172411.66281569004</v>
      </c>
    </row>
    <row r="263" spans="1:14" x14ac:dyDescent="0.3">
      <c r="A263" s="52" t="s">
        <v>89</v>
      </c>
      <c r="B263" s="52" t="s">
        <v>90</v>
      </c>
      <c r="C263" s="54">
        <v>250000</v>
      </c>
      <c r="D263" s="54"/>
      <c r="E263" s="54">
        <f t="shared" si="52"/>
        <v>250000</v>
      </c>
      <c r="F263" s="54"/>
      <c r="G263" s="53">
        <f t="shared" si="66"/>
        <v>250000</v>
      </c>
      <c r="H263" s="170">
        <v>-50000</v>
      </c>
      <c r="I263" s="69">
        <f t="shared" si="67"/>
        <v>200000</v>
      </c>
      <c r="J263" s="53">
        <f t="shared" si="64"/>
        <v>261500</v>
      </c>
      <c r="K263" s="53">
        <f t="shared" si="65"/>
        <v>273529</v>
      </c>
      <c r="L263" s="200">
        <v>48500</v>
      </c>
      <c r="M263" s="200">
        <v>5840</v>
      </c>
      <c r="N263" s="53">
        <f t="shared" si="68"/>
        <v>145660</v>
      </c>
    </row>
    <row r="264" spans="1:14" x14ac:dyDescent="0.3">
      <c r="A264" s="52" t="s">
        <v>105</v>
      </c>
      <c r="B264" s="52" t="s">
        <v>106</v>
      </c>
      <c r="C264" s="54">
        <f>1400*12*190</f>
        <v>3192000</v>
      </c>
      <c r="D264" s="54"/>
      <c r="E264" s="54">
        <f t="shared" si="52"/>
        <v>3192000</v>
      </c>
      <c r="F264" s="54"/>
      <c r="G264" s="53">
        <f t="shared" si="66"/>
        <v>3192000</v>
      </c>
      <c r="H264" s="170">
        <f>169000-1450</f>
        <v>167550</v>
      </c>
      <c r="I264" s="69">
        <f t="shared" si="67"/>
        <v>3359550</v>
      </c>
      <c r="J264" s="53">
        <f t="shared" si="64"/>
        <v>3338832</v>
      </c>
      <c r="K264" s="53">
        <f t="shared" si="65"/>
        <v>3492418.2720000003</v>
      </c>
      <c r="L264" s="200">
        <v>1926350</v>
      </c>
      <c r="M264" s="200"/>
      <c r="N264" s="53">
        <f t="shared" si="68"/>
        <v>1433200</v>
      </c>
    </row>
    <row r="265" spans="1:14" x14ac:dyDescent="0.3">
      <c r="A265" s="52" t="s">
        <v>93</v>
      </c>
      <c r="B265" s="52" t="s">
        <v>94</v>
      </c>
      <c r="C265" s="54">
        <v>150000</v>
      </c>
      <c r="D265" s="54"/>
      <c r="E265" s="54">
        <f t="shared" si="52"/>
        <v>150000</v>
      </c>
      <c r="F265" s="54"/>
      <c r="G265" s="53">
        <f t="shared" si="66"/>
        <v>150000</v>
      </c>
      <c r="H265" s="170">
        <v>48000</v>
      </c>
      <c r="I265" s="69">
        <f t="shared" si="67"/>
        <v>198000</v>
      </c>
      <c r="J265" s="53">
        <f t="shared" si="64"/>
        <v>156900</v>
      </c>
      <c r="K265" s="53">
        <f t="shared" si="65"/>
        <v>164117.4</v>
      </c>
      <c r="L265" s="200">
        <v>198000</v>
      </c>
      <c r="M265" s="200"/>
      <c r="N265" s="53">
        <f t="shared" si="68"/>
        <v>0</v>
      </c>
    </row>
    <row r="266" spans="1:14" x14ac:dyDescent="0.3">
      <c r="A266" s="52" t="s">
        <v>87</v>
      </c>
      <c r="B266" s="166" t="s">
        <v>88</v>
      </c>
      <c r="C266" s="54">
        <v>70000</v>
      </c>
      <c r="D266" s="54"/>
      <c r="E266" s="54">
        <f t="shared" si="52"/>
        <v>70000</v>
      </c>
      <c r="F266" s="54"/>
      <c r="G266" s="53">
        <f t="shared" si="66"/>
        <v>70000</v>
      </c>
      <c r="H266" s="170">
        <f>-11200+229000-93000</f>
        <v>124800</v>
      </c>
      <c r="I266" s="69">
        <f t="shared" si="67"/>
        <v>194800</v>
      </c>
      <c r="J266" s="53">
        <f t="shared" si="64"/>
        <v>73220</v>
      </c>
      <c r="K266" s="53">
        <f t="shared" si="65"/>
        <v>76588.12000000001</v>
      </c>
      <c r="L266" s="200">
        <v>37750</v>
      </c>
      <c r="M266" s="200"/>
      <c r="N266" s="53">
        <f t="shared" si="68"/>
        <v>157050</v>
      </c>
    </row>
    <row r="267" spans="1:14" x14ac:dyDescent="0.3">
      <c r="A267" s="52" t="s">
        <v>91</v>
      </c>
      <c r="B267" s="166" t="s">
        <v>92</v>
      </c>
      <c r="C267" s="54">
        <v>260000</v>
      </c>
      <c r="D267" s="54"/>
      <c r="E267" s="54">
        <f t="shared" si="52"/>
        <v>260000</v>
      </c>
      <c r="F267" s="54"/>
      <c r="G267" s="53">
        <f t="shared" si="66"/>
        <v>260000</v>
      </c>
      <c r="H267" s="170">
        <f>-51000+191000</f>
        <v>140000</v>
      </c>
      <c r="I267" s="69">
        <f t="shared" si="67"/>
        <v>400000</v>
      </c>
      <c r="J267" s="53">
        <f t="shared" si="64"/>
        <v>271960</v>
      </c>
      <c r="K267" s="53">
        <f t="shared" si="65"/>
        <v>284470.16000000003</v>
      </c>
      <c r="L267" s="200">
        <v>120500</v>
      </c>
      <c r="M267" s="200">
        <v>29500</v>
      </c>
      <c r="N267" s="53">
        <f t="shared" si="68"/>
        <v>250000</v>
      </c>
    </row>
    <row r="268" spans="1:14" x14ac:dyDescent="0.3">
      <c r="A268" s="52" t="s">
        <v>116</v>
      </c>
      <c r="B268" s="52" t="s">
        <v>117</v>
      </c>
      <c r="C268" s="54">
        <v>150000</v>
      </c>
      <c r="D268" s="54"/>
      <c r="E268" s="54">
        <f t="shared" si="52"/>
        <v>150000</v>
      </c>
      <c r="F268" s="54"/>
      <c r="G268" s="53">
        <f t="shared" si="66"/>
        <v>150000</v>
      </c>
      <c r="H268" s="170">
        <v>8000.5</v>
      </c>
      <c r="I268" s="69">
        <f t="shared" si="67"/>
        <v>158000.5</v>
      </c>
      <c r="J268" s="53">
        <f t="shared" si="64"/>
        <v>156900</v>
      </c>
      <c r="K268" s="53">
        <f t="shared" si="65"/>
        <v>164117.4</v>
      </c>
      <c r="L268" s="200">
        <v>158000.5</v>
      </c>
      <c r="M268" s="200"/>
      <c r="N268" s="53">
        <f t="shared" si="68"/>
        <v>0</v>
      </c>
    </row>
    <row r="269" spans="1:14" x14ac:dyDescent="0.3">
      <c r="A269" s="52" t="s">
        <v>1059</v>
      </c>
      <c r="B269" s="52" t="s">
        <v>1058</v>
      </c>
      <c r="C269" s="54">
        <v>100000</v>
      </c>
      <c r="D269" s="54"/>
      <c r="E269" s="54">
        <f t="shared" si="52"/>
        <v>100000</v>
      </c>
      <c r="F269" s="54"/>
      <c r="G269" s="53">
        <f t="shared" si="66"/>
        <v>100000</v>
      </c>
      <c r="H269" s="170"/>
      <c r="I269" s="69">
        <f t="shared" si="67"/>
        <v>100000</v>
      </c>
      <c r="J269" s="53">
        <f t="shared" si="64"/>
        <v>104600</v>
      </c>
      <c r="K269" s="53">
        <f t="shared" si="65"/>
        <v>109411.6</v>
      </c>
      <c r="L269" s="200">
        <v>0</v>
      </c>
      <c r="M269" s="200"/>
      <c r="N269" s="53">
        <f t="shared" si="68"/>
        <v>100000</v>
      </c>
    </row>
    <row r="270" spans="1:14" x14ac:dyDescent="0.3">
      <c r="A270" s="52" t="s">
        <v>1061</v>
      </c>
      <c r="B270" s="52" t="s">
        <v>1060</v>
      </c>
      <c r="C270" s="115">
        <v>130000</v>
      </c>
      <c r="D270" s="115"/>
      <c r="E270" s="54">
        <f t="shared" si="52"/>
        <v>130000</v>
      </c>
      <c r="F270" s="54"/>
      <c r="G270" s="53">
        <f t="shared" si="66"/>
        <v>130000</v>
      </c>
      <c r="H270" s="170">
        <v>-22998</v>
      </c>
      <c r="I270" s="69">
        <f t="shared" si="67"/>
        <v>107002</v>
      </c>
      <c r="J270" s="53">
        <f t="shared" si="64"/>
        <v>135980</v>
      </c>
      <c r="K270" s="53">
        <f t="shared" ref="K270:K271" si="69">J270*104.6%</f>
        <v>142235.08000000002</v>
      </c>
      <c r="L270" s="200">
        <v>107002</v>
      </c>
      <c r="M270" s="200"/>
      <c r="N270" s="53">
        <f t="shared" si="68"/>
        <v>0</v>
      </c>
    </row>
    <row r="271" spans="1:14" x14ac:dyDescent="0.3">
      <c r="A271" s="52" t="s">
        <v>1062</v>
      </c>
      <c r="B271" s="52" t="s">
        <v>1057</v>
      </c>
      <c r="C271" s="115">
        <v>85000</v>
      </c>
      <c r="D271" s="115"/>
      <c r="E271" s="54">
        <f t="shared" si="52"/>
        <v>85000</v>
      </c>
      <c r="F271" s="54"/>
      <c r="G271" s="53">
        <f t="shared" si="66"/>
        <v>85000</v>
      </c>
      <c r="H271" s="170">
        <v>-2600</v>
      </c>
      <c r="I271" s="69">
        <f t="shared" si="67"/>
        <v>82400</v>
      </c>
      <c r="J271" s="53">
        <f t="shared" si="64"/>
        <v>88910</v>
      </c>
      <c r="K271" s="69">
        <f t="shared" si="69"/>
        <v>92999.86</v>
      </c>
      <c r="L271" s="200">
        <v>52400</v>
      </c>
      <c r="M271" s="200">
        <v>9275</v>
      </c>
      <c r="N271" s="53">
        <f t="shared" si="68"/>
        <v>20725</v>
      </c>
    </row>
    <row r="272" spans="1:14" x14ac:dyDescent="0.3">
      <c r="A272" s="52" t="s">
        <v>1308</v>
      </c>
      <c r="B272" s="52" t="s">
        <v>1309</v>
      </c>
      <c r="C272" s="115"/>
      <c r="D272" s="115"/>
      <c r="E272" s="54">
        <f t="shared" ref="E272:E344" si="70">C272+D272</f>
        <v>0</v>
      </c>
      <c r="F272" s="54">
        <v>1000000</v>
      </c>
      <c r="G272" s="53">
        <f t="shared" si="66"/>
        <v>1000000</v>
      </c>
      <c r="H272" s="170"/>
      <c r="I272" s="69">
        <f t="shared" si="67"/>
        <v>1000000</v>
      </c>
      <c r="J272" s="53"/>
      <c r="K272" s="69"/>
      <c r="L272" s="200">
        <v>723790</v>
      </c>
      <c r="M272" s="200"/>
      <c r="N272" s="53">
        <f t="shared" si="68"/>
        <v>276210</v>
      </c>
    </row>
    <row r="273" spans="1:14" x14ac:dyDescent="0.3">
      <c r="A273" s="52"/>
      <c r="B273" s="52"/>
      <c r="C273" s="115"/>
      <c r="D273" s="115"/>
      <c r="E273" s="54"/>
      <c r="F273" s="54"/>
      <c r="G273" s="53"/>
      <c r="H273" s="170"/>
      <c r="I273" s="69">
        <f t="shared" si="67"/>
        <v>0</v>
      </c>
      <c r="J273" s="53"/>
      <c r="K273" s="69"/>
      <c r="L273" s="200"/>
      <c r="M273" s="200"/>
      <c r="N273" s="53">
        <f t="shared" si="68"/>
        <v>0</v>
      </c>
    </row>
    <row r="274" spans="1:14" x14ac:dyDescent="0.3">
      <c r="A274" s="52"/>
      <c r="B274" s="51" t="s">
        <v>835</v>
      </c>
      <c r="C274" s="115"/>
      <c r="D274" s="115"/>
      <c r="E274" s="54">
        <f t="shared" si="70"/>
        <v>0</v>
      </c>
      <c r="F274" s="54"/>
      <c r="G274" s="53">
        <f t="shared" si="66"/>
        <v>0</v>
      </c>
      <c r="H274" s="170"/>
      <c r="I274" s="69">
        <f t="shared" si="67"/>
        <v>0</v>
      </c>
      <c r="J274" s="53"/>
      <c r="K274" s="69"/>
      <c r="L274" s="200"/>
      <c r="M274" s="200"/>
      <c r="N274" s="53">
        <f t="shared" si="68"/>
        <v>0</v>
      </c>
    </row>
    <row r="275" spans="1:14" x14ac:dyDescent="0.3">
      <c r="A275" s="52" t="s">
        <v>836</v>
      </c>
      <c r="B275" s="166" t="s">
        <v>837</v>
      </c>
      <c r="C275" s="115">
        <v>240000</v>
      </c>
      <c r="D275" s="115"/>
      <c r="E275" s="54">
        <f t="shared" si="70"/>
        <v>240000</v>
      </c>
      <c r="F275" s="54"/>
      <c r="G275" s="53">
        <f t="shared" si="66"/>
        <v>240000</v>
      </c>
      <c r="H275" s="170">
        <f>-74100-100000</f>
        <v>-174100</v>
      </c>
      <c r="I275" s="69">
        <f t="shared" si="67"/>
        <v>65900</v>
      </c>
      <c r="J275" s="53">
        <f t="shared" ref="J275:J280" si="71">C275*104.6%</f>
        <v>251040</v>
      </c>
      <c r="K275" s="53">
        <f t="shared" ref="K275:K280" si="72">J275*104.6%</f>
        <v>262587.84000000003</v>
      </c>
      <c r="L275" s="200">
        <v>65900</v>
      </c>
      <c r="M275" s="200"/>
      <c r="N275" s="53">
        <f t="shared" si="68"/>
        <v>0</v>
      </c>
    </row>
    <row r="276" spans="1:14" x14ac:dyDescent="0.3">
      <c r="A276" s="52" t="s">
        <v>838</v>
      </c>
      <c r="B276" s="166" t="s">
        <v>839</v>
      </c>
      <c r="C276" s="115">
        <v>50000</v>
      </c>
      <c r="D276" s="115"/>
      <c r="E276" s="54">
        <f t="shared" si="70"/>
        <v>50000</v>
      </c>
      <c r="F276" s="54"/>
      <c r="G276" s="53">
        <f t="shared" si="66"/>
        <v>50000</v>
      </c>
      <c r="H276" s="170">
        <f>6852+60000-60000</f>
        <v>6852</v>
      </c>
      <c r="I276" s="69">
        <f t="shared" si="67"/>
        <v>56852</v>
      </c>
      <c r="J276" s="53">
        <f t="shared" si="71"/>
        <v>52300</v>
      </c>
      <c r="K276" s="53">
        <f t="shared" si="72"/>
        <v>54705.8</v>
      </c>
      <c r="L276" s="200">
        <v>56852</v>
      </c>
      <c r="M276" s="200"/>
      <c r="N276" s="53">
        <f t="shared" si="68"/>
        <v>0</v>
      </c>
    </row>
    <row r="277" spans="1:14" x14ac:dyDescent="0.3">
      <c r="A277" s="52" t="s">
        <v>840</v>
      </c>
      <c r="B277" s="166" t="s">
        <v>841</v>
      </c>
      <c r="C277" s="115">
        <v>60000</v>
      </c>
      <c r="D277" s="115"/>
      <c r="E277" s="54">
        <f t="shared" si="70"/>
        <v>60000</v>
      </c>
      <c r="F277" s="54"/>
      <c r="G277" s="53">
        <f t="shared" si="66"/>
        <v>60000</v>
      </c>
      <c r="H277" s="170">
        <v>-31000</v>
      </c>
      <c r="I277" s="69">
        <f t="shared" si="67"/>
        <v>29000</v>
      </c>
      <c r="J277" s="53">
        <f t="shared" si="71"/>
        <v>62760</v>
      </c>
      <c r="K277" s="53">
        <f t="shared" si="72"/>
        <v>65646.960000000006</v>
      </c>
      <c r="L277" s="200">
        <v>29000</v>
      </c>
      <c r="M277" s="200"/>
      <c r="N277" s="53">
        <f t="shared" si="68"/>
        <v>0</v>
      </c>
    </row>
    <row r="278" spans="1:14" x14ac:dyDescent="0.3">
      <c r="A278" s="52" t="s">
        <v>842</v>
      </c>
      <c r="B278" s="166" t="s">
        <v>843</v>
      </c>
      <c r="C278" s="115">
        <v>250000</v>
      </c>
      <c r="D278" s="115"/>
      <c r="E278" s="54">
        <f t="shared" si="70"/>
        <v>250000</v>
      </c>
      <c r="F278" s="54"/>
      <c r="G278" s="53">
        <f t="shared" si="66"/>
        <v>250000</v>
      </c>
      <c r="H278" s="170">
        <f>-44000-150000</f>
        <v>-194000</v>
      </c>
      <c r="I278" s="69">
        <f t="shared" si="67"/>
        <v>56000</v>
      </c>
      <c r="J278" s="53">
        <f t="shared" si="71"/>
        <v>261500</v>
      </c>
      <c r="K278" s="53">
        <f t="shared" si="72"/>
        <v>273529</v>
      </c>
      <c r="L278" s="200">
        <v>56000</v>
      </c>
      <c r="M278" s="200"/>
      <c r="N278" s="53">
        <f t="shared" si="68"/>
        <v>0</v>
      </c>
    </row>
    <row r="279" spans="1:14" x14ac:dyDescent="0.3">
      <c r="A279" s="52" t="s">
        <v>844</v>
      </c>
      <c r="B279" s="166" t="s">
        <v>845</v>
      </c>
      <c r="C279" s="115">
        <v>240000</v>
      </c>
      <c r="D279" s="115"/>
      <c r="E279" s="54">
        <f t="shared" si="70"/>
        <v>240000</v>
      </c>
      <c r="F279" s="54"/>
      <c r="G279" s="53">
        <f t="shared" si="66"/>
        <v>240000</v>
      </c>
      <c r="H279" s="170">
        <v>-186000</v>
      </c>
      <c r="I279" s="69">
        <f t="shared" si="67"/>
        <v>54000</v>
      </c>
      <c r="J279" s="53">
        <f t="shared" si="71"/>
        <v>251040</v>
      </c>
      <c r="K279" s="53">
        <f t="shared" si="72"/>
        <v>262587.84000000003</v>
      </c>
      <c r="L279" s="200">
        <v>54000</v>
      </c>
      <c r="M279" s="200"/>
      <c r="N279" s="53">
        <f t="shared" si="68"/>
        <v>0</v>
      </c>
    </row>
    <row r="280" spans="1:14" x14ac:dyDescent="0.3">
      <c r="A280" s="52" t="s">
        <v>846</v>
      </c>
      <c r="B280" s="166" t="s">
        <v>847</v>
      </c>
      <c r="C280" s="115">
        <v>200000</v>
      </c>
      <c r="D280" s="115"/>
      <c r="E280" s="54">
        <f t="shared" si="70"/>
        <v>200000</v>
      </c>
      <c r="F280" s="54"/>
      <c r="G280" s="53">
        <f t="shared" si="66"/>
        <v>200000</v>
      </c>
      <c r="H280" s="170">
        <v>200000</v>
      </c>
      <c r="I280" s="69">
        <f t="shared" si="67"/>
        <v>400000</v>
      </c>
      <c r="J280" s="53">
        <f t="shared" si="71"/>
        <v>209200</v>
      </c>
      <c r="K280" s="53">
        <f t="shared" si="72"/>
        <v>218823.2</v>
      </c>
      <c r="L280" s="200"/>
      <c r="M280" s="200"/>
      <c r="N280" s="53">
        <f t="shared" si="68"/>
        <v>400000</v>
      </c>
    </row>
    <row r="281" spans="1:14" ht="14.5" thickBot="1" x14ac:dyDescent="0.35">
      <c r="A281" s="84"/>
      <c r="B281" s="84"/>
      <c r="C281" s="113"/>
      <c r="D281" s="113"/>
      <c r="E281" s="54">
        <f t="shared" si="70"/>
        <v>0</v>
      </c>
      <c r="F281" s="68"/>
      <c r="G281" s="53">
        <f t="shared" si="66"/>
        <v>0</v>
      </c>
      <c r="H281" s="173"/>
      <c r="I281" s="69"/>
      <c r="J281" s="114"/>
      <c r="K281" s="69"/>
      <c r="L281" s="200"/>
      <c r="M281" s="200"/>
      <c r="N281" s="53">
        <f t="shared" si="68"/>
        <v>0</v>
      </c>
    </row>
    <row r="282" spans="1:14" ht="14.5" thickBot="1" x14ac:dyDescent="0.35">
      <c r="A282" s="57" t="s">
        <v>678</v>
      </c>
      <c r="B282" s="57"/>
      <c r="C282" s="92">
        <f>SUM(C261:C281)</f>
        <v>6327000</v>
      </c>
      <c r="D282" s="92">
        <f t="shared" ref="D282:N282" si="73">SUM(D261:D281)</f>
        <v>0</v>
      </c>
      <c r="E282" s="92">
        <f t="shared" si="73"/>
        <v>6327000</v>
      </c>
      <c r="F282" s="92">
        <f t="shared" si="73"/>
        <v>1000000</v>
      </c>
      <c r="G282" s="92">
        <f t="shared" si="73"/>
        <v>7327000</v>
      </c>
      <c r="H282" s="181">
        <f t="shared" si="73"/>
        <v>-693083.83718430996</v>
      </c>
      <c r="I282" s="92">
        <f t="shared" si="73"/>
        <v>6633916.16281569</v>
      </c>
      <c r="J282" s="92">
        <f t="shared" si="73"/>
        <v>6618042</v>
      </c>
      <c r="K282" s="92">
        <f t="shared" si="73"/>
        <v>6922471.932000001</v>
      </c>
      <c r="L282" s="92">
        <f t="shared" si="73"/>
        <v>3634044.5</v>
      </c>
      <c r="M282" s="92">
        <f t="shared" si="73"/>
        <v>44615</v>
      </c>
      <c r="N282" s="92">
        <f t="shared" si="73"/>
        <v>2955256.66281569</v>
      </c>
    </row>
    <row r="283" spans="1:14" ht="14.5" thickTop="1" x14ac:dyDescent="0.3">
      <c r="A283" s="61"/>
      <c r="B283" s="61"/>
      <c r="C283" s="54"/>
      <c r="D283" s="54"/>
      <c r="E283" s="54">
        <f t="shared" si="70"/>
        <v>0</v>
      </c>
      <c r="F283" s="54"/>
      <c r="G283" s="54"/>
      <c r="H283" s="180"/>
      <c r="I283" s="54"/>
      <c r="J283" s="62"/>
      <c r="K283" s="62"/>
      <c r="L283" s="200"/>
      <c r="M283" s="200"/>
      <c r="N283" s="200"/>
    </row>
    <row r="284" spans="1:14" x14ac:dyDescent="0.3">
      <c r="A284" s="51" t="s">
        <v>79</v>
      </c>
      <c r="B284" s="52"/>
      <c r="C284" s="54"/>
      <c r="D284" s="54"/>
      <c r="E284" s="54">
        <f t="shared" si="70"/>
        <v>0</v>
      </c>
      <c r="F284" s="54"/>
      <c r="G284" s="54"/>
      <c r="H284" s="180"/>
      <c r="I284" s="54"/>
      <c r="J284" s="53"/>
      <c r="K284" s="53"/>
      <c r="L284" s="200"/>
      <c r="M284" s="200"/>
      <c r="N284" s="200"/>
    </row>
    <row r="285" spans="1:14" x14ac:dyDescent="0.3">
      <c r="A285" s="52"/>
      <c r="B285" s="52" t="s">
        <v>57</v>
      </c>
      <c r="C285" s="54">
        <v>0</v>
      </c>
      <c r="D285" s="54"/>
      <c r="E285" s="54">
        <f t="shared" si="70"/>
        <v>0</v>
      </c>
      <c r="F285" s="54"/>
      <c r="G285" s="53">
        <f t="shared" ref="G285:G295" si="74">E285+F285</f>
        <v>0</v>
      </c>
      <c r="H285" s="170"/>
      <c r="I285" s="69">
        <f t="shared" ref="I285:I295" si="75">G285+H285</f>
        <v>0</v>
      </c>
      <c r="J285" s="53">
        <f t="shared" ref="J285:J295" si="76">C285*104.6%</f>
        <v>0</v>
      </c>
      <c r="K285" s="53">
        <f t="shared" ref="K285:K295" si="77">J285*104.6%</f>
        <v>0</v>
      </c>
      <c r="L285" s="200"/>
      <c r="M285" s="200"/>
      <c r="N285" s="53">
        <f t="shared" ref="N285:N295" si="78">I285-L285-M285</f>
        <v>0</v>
      </c>
    </row>
    <row r="286" spans="1:14" x14ac:dyDescent="0.3">
      <c r="A286" s="52"/>
      <c r="B286" s="52" t="s">
        <v>58</v>
      </c>
      <c r="C286" s="54">
        <v>0</v>
      </c>
      <c r="D286" s="54"/>
      <c r="E286" s="54">
        <f t="shared" si="70"/>
        <v>0</v>
      </c>
      <c r="F286" s="54"/>
      <c r="G286" s="53">
        <f t="shared" si="74"/>
        <v>0</v>
      </c>
      <c r="H286" s="170"/>
      <c r="I286" s="69">
        <f t="shared" si="75"/>
        <v>0</v>
      </c>
      <c r="J286" s="53">
        <f t="shared" si="76"/>
        <v>0</v>
      </c>
      <c r="K286" s="53">
        <f t="shared" si="77"/>
        <v>0</v>
      </c>
      <c r="L286" s="200"/>
      <c r="M286" s="200"/>
      <c r="N286" s="53">
        <f t="shared" si="78"/>
        <v>0</v>
      </c>
    </row>
    <row r="287" spans="1:14" x14ac:dyDescent="0.3">
      <c r="A287" s="52"/>
      <c r="B287" s="52" t="s">
        <v>59</v>
      </c>
      <c r="C287" s="54">
        <v>0</v>
      </c>
      <c r="D287" s="54"/>
      <c r="E287" s="54">
        <f t="shared" si="70"/>
        <v>0</v>
      </c>
      <c r="F287" s="54"/>
      <c r="G287" s="53">
        <f t="shared" si="74"/>
        <v>0</v>
      </c>
      <c r="H287" s="170"/>
      <c r="I287" s="69">
        <f t="shared" si="75"/>
        <v>0</v>
      </c>
      <c r="J287" s="53">
        <f t="shared" si="76"/>
        <v>0</v>
      </c>
      <c r="K287" s="53">
        <f t="shared" si="77"/>
        <v>0</v>
      </c>
      <c r="L287" s="200"/>
      <c r="M287" s="200"/>
      <c r="N287" s="53">
        <f t="shared" si="78"/>
        <v>0</v>
      </c>
    </row>
    <row r="288" spans="1:14" x14ac:dyDescent="0.3">
      <c r="A288" s="52"/>
      <c r="B288" s="52" t="s">
        <v>60</v>
      </c>
      <c r="C288" s="54">
        <v>0</v>
      </c>
      <c r="D288" s="54"/>
      <c r="E288" s="54">
        <f t="shared" si="70"/>
        <v>0</v>
      </c>
      <c r="F288" s="54"/>
      <c r="G288" s="53">
        <f t="shared" si="74"/>
        <v>0</v>
      </c>
      <c r="H288" s="170"/>
      <c r="I288" s="69">
        <f t="shared" si="75"/>
        <v>0</v>
      </c>
      <c r="J288" s="53">
        <f t="shared" si="76"/>
        <v>0</v>
      </c>
      <c r="K288" s="53">
        <f t="shared" si="77"/>
        <v>0</v>
      </c>
      <c r="L288" s="200"/>
      <c r="M288" s="200"/>
      <c r="N288" s="53">
        <f t="shared" si="78"/>
        <v>0</v>
      </c>
    </row>
    <row r="289" spans="1:14" x14ac:dyDescent="0.3">
      <c r="A289" s="52"/>
      <c r="B289" s="52" t="s">
        <v>123</v>
      </c>
      <c r="C289" s="54">
        <v>0</v>
      </c>
      <c r="D289" s="54"/>
      <c r="E289" s="54">
        <f t="shared" si="70"/>
        <v>0</v>
      </c>
      <c r="F289" s="54"/>
      <c r="G289" s="53">
        <f t="shared" si="74"/>
        <v>0</v>
      </c>
      <c r="H289" s="170"/>
      <c r="I289" s="69">
        <f t="shared" si="75"/>
        <v>0</v>
      </c>
      <c r="J289" s="53">
        <f t="shared" si="76"/>
        <v>0</v>
      </c>
      <c r="K289" s="53">
        <f t="shared" si="77"/>
        <v>0</v>
      </c>
      <c r="L289" s="200"/>
      <c r="M289" s="200"/>
      <c r="N289" s="53">
        <f t="shared" si="78"/>
        <v>0</v>
      </c>
    </row>
    <row r="290" spans="1:14" x14ac:dyDescent="0.3">
      <c r="A290" s="52"/>
      <c r="B290" s="52" t="s">
        <v>61</v>
      </c>
      <c r="C290" s="54">
        <v>0</v>
      </c>
      <c r="D290" s="54"/>
      <c r="E290" s="54">
        <f t="shared" si="70"/>
        <v>0</v>
      </c>
      <c r="F290" s="54"/>
      <c r="G290" s="53">
        <f t="shared" si="74"/>
        <v>0</v>
      </c>
      <c r="H290" s="170"/>
      <c r="I290" s="69">
        <f t="shared" si="75"/>
        <v>0</v>
      </c>
      <c r="J290" s="53">
        <f t="shared" si="76"/>
        <v>0</v>
      </c>
      <c r="K290" s="53">
        <f t="shared" si="77"/>
        <v>0</v>
      </c>
      <c r="L290" s="200"/>
      <c r="M290" s="200"/>
      <c r="N290" s="53">
        <f t="shared" si="78"/>
        <v>0</v>
      </c>
    </row>
    <row r="291" spans="1:14" x14ac:dyDescent="0.3">
      <c r="A291" s="52"/>
      <c r="B291" s="52" t="s">
        <v>593</v>
      </c>
      <c r="C291" s="54">
        <v>0</v>
      </c>
      <c r="D291" s="54"/>
      <c r="E291" s="54">
        <f t="shared" si="70"/>
        <v>0</v>
      </c>
      <c r="F291" s="54"/>
      <c r="G291" s="53">
        <f t="shared" si="74"/>
        <v>0</v>
      </c>
      <c r="H291" s="170"/>
      <c r="I291" s="69">
        <f t="shared" si="75"/>
        <v>0</v>
      </c>
      <c r="J291" s="53">
        <f t="shared" si="76"/>
        <v>0</v>
      </c>
      <c r="K291" s="53">
        <f t="shared" si="77"/>
        <v>0</v>
      </c>
      <c r="L291" s="200"/>
      <c r="M291" s="200"/>
      <c r="N291" s="53">
        <f t="shared" si="78"/>
        <v>0</v>
      </c>
    </row>
    <row r="292" spans="1:14" x14ac:dyDescent="0.3">
      <c r="A292" s="52"/>
      <c r="B292" s="52" t="s">
        <v>126</v>
      </c>
      <c r="C292" s="54">
        <v>0</v>
      </c>
      <c r="D292" s="54"/>
      <c r="E292" s="54">
        <f t="shared" si="70"/>
        <v>0</v>
      </c>
      <c r="F292" s="54"/>
      <c r="G292" s="53">
        <f t="shared" si="74"/>
        <v>0</v>
      </c>
      <c r="H292" s="170"/>
      <c r="I292" s="69">
        <f t="shared" si="75"/>
        <v>0</v>
      </c>
      <c r="J292" s="53">
        <f t="shared" si="76"/>
        <v>0</v>
      </c>
      <c r="K292" s="53">
        <f t="shared" si="77"/>
        <v>0</v>
      </c>
      <c r="L292" s="200"/>
      <c r="M292" s="200"/>
      <c r="N292" s="53">
        <f t="shared" si="78"/>
        <v>0</v>
      </c>
    </row>
    <row r="293" spans="1:14" x14ac:dyDescent="0.3">
      <c r="A293" s="52"/>
      <c r="B293" s="52" t="s">
        <v>62</v>
      </c>
      <c r="C293" s="54">
        <v>0</v>
      </c>
      <c r="D293" s="54"/>
      <c r="E293" s="54">
        <f t="shared" si="70"/>
        <v>0</v>
      </c>
      <c r="F293" s="54"/>
      <c r="G293" s="53">
        <f t="shared" si="74"/>
        <v>0</v>
      </c>
      <c r="H293" s="170"/>
      <c r="I293" s="69">
        <f t="shared" si="75"/>
        <v>0</v>
      </c>
      <c r="J293" s="53">
        <f t="shared" si="76"/>
        <v>0</v>
      </c>
      <c r="K293" s="53">
        <f t="shared" si="77"/>
        <v>0</v>
      </c>
      <c r="L293" s="200"/>
      <c r="M293" s="200"/>
      <c r="N293" s="53">
        <f t="shared" si="78"/>
        <v>0</v>
      </c>
    </row>
    <row r="294" spans="1:14" x14ac:dyDescent="0.3">
      <c r="A294" s="52"/>
      <c r="B294" s="52" t="s">
        <v>63</v>
      </c>
      <c r="C294" s="54">
        <v>0</v>
      </c>
      <c r="D294" s="54"/>
      <c r="E294" s="54">
        <f t="shared" si="70"/>
        <v>0</v>
      </c>
      <c r="F294" s="54"/>
      <c r="G294" s="53">
        <f t="shared" si="74"/>
        <v>0</v>
      </c>
      <c r="H294" s="170"/>
      <c r="I294" s="69">
        <f t="shared" si="75"/>
        <v>0</v>
      </c>
      <c r="J294" s="53">
        <f t="shared" si="76"/>
        <v>0</v>
      </c>
      <c r="K294" s="53">
        <f t="shared" si="77"/>
        <v>0</v>
      </c>
      <c r="L294" s="200"/>
      <c r="M294" s="200"/>
      <c r="N294" s="53">
        <f t="shared" si="78"/>
        <v>0</v>
      </c>
    </row>
    <row r="295" spans="1:14" ht="14.5" thickBot="1" x14ac:dyDescent="0.35">
      <c r="A295" s="56"/>
      <c r="B295" s="56" t="s">
        <v>64</v>
      </c>
      <c r="C295" s="54">
        <v>0</v>
      </c>
      <c r="D295" s="54"/>
      <c r="E295" s="54">
        <f t="shared" si="70"/>
        <v>0</v>
      </c>
      <c r="F295" s="54"/>
      <c r="G295" s="53">
        <f t="shared" si="74"/>
        <v>0</v>
      </c>
      <c r="H295" s="170"/>
      <c r="I295" s="69">
        <f t="shared" si="75"/>
        <v>0</v>
      </c>
      <c r="J295" s="53">
        <f t="shared" si="76"/>
        <v>0</v>
      </c>
      <c r="K295" s="53">
        <f t="shared" si="77"/>
        <v>0</v>
      </c>
      <c r="L295" s="200"/>
      <c r="M295" s="200"/>
      <c r="N295" s="53">
        <f t="shared" si="78"/>
        <v>0</v>
      </c>
    </row>
    <row r="296" spans="1:14" ht="14.5" thickBot="1" x14ac:dyDescent="0.35">
      <c r="A296" s="57" t="s">
        <v>259</v>
      </c>
      <c r="B296" s="58"/>
      <c r="C296" s="58"/>
      <c r="D296" s="58"/>
      <c r="E296" s="58"/>
      <c r="F296" s="58"/>
      <c r="G296" s="58"/>
      <c r="H296" s="182"/>
      <c r="I296" s="58"/>
      <c r="J296" s="58"/>
      <c r="K296" s="58"/>
      <c r="L296" s="200"/>
      <c r="M296" s="200"/>
      <c r="N296" s="200"/>
    </row>
    <row r="297" spans="1:14" ht="15" thickTop="1" thickBot="1" x14ac:dyDescent="0.35">
      <c r="A297" s="73"/>
      <c r="B297" s="73"/>
      <c r="C297" s="68"/>
      <c r="D297" s="68"/>
      <c r="E297" s="54">
        <f t="shared" si="70"/>
        <v>0</v>
      </c>
      <c r="F297" s="68"/>
      <c r="G297" s="68"/>
      <c r="H297" s="183"/>
      <c r="I297" s="68"/>
      <c r="J297" s="79"/>
      <c r="K297" s="79"/>
      <c r="L297" s="200"/>
      <c r="M297" s="200"/>
      <c r="N297" s="200"/>
    </row>
    <row r="298" spans="1:14" ht="14.5" thickBot="1" x14ac:dyDescent="0.35">
      <c r="A298" s="70" t="s">
        <v>701</v>
      </c>
      <c r="B298" s="70"/>
      <c r="C298" s="71">
        <f>C296+C282</f>
        <v>6327000</v>
      </c>
      <c r="D298" s="71">
        <f t="shared" ref="D298:N298" si="79">D296+D282</f>
        <v>0</v>
      </c>
      <c r="E298" s="71">
        <f t="shared" si="79"/>
        <v>6327000</v>
      </c>
      <c r="F298" s="71">
        <f t="shared" si="79"/>
        <v>1000000</v>
      </c>
      <c r="G298" s="71">
        <f t="shared" si="79"/>
        <v>7327000</v>
      </c>
      <c r="H298" s="184">
        <f t="shared" si="79"/>
        <v>-693083.83718430996</v>
      </c>
      <c r="I298" s="71">
        <f t="shared" si="79"/>
        <v>6633916.16281569</v>
      </c>
      <c r="J298" s="71">
        <f t="shared" si="79"/>
        <v>6618042</v>
      </c>
      <c r="K298" s="71">
        <f t="shared" si="79"/>
        <v>6922471.932000001</v>
      </c>
      <c r="L298" s="71">
        <f t="shared" si="79"/>
        <v>3634044.5</v>
      </c>
      <c r="M298" s="71">
        <f t="shared" si="79"/>
        <v>44615</v>
      </c>
      <c r="N298" s="71">
        <f t="shared" si="79"/>
        <v>2955256.66281569</v>
      </c>
    </row>
    <row r="299" spans="1:14" ht="14.5" thickTop="1" x14ac:dyDescent="0.3">
      <c r="A299" s="61"/>
      <c r="B299" s="61"/>
      <c r="C299" s="54"/>
      <c r="D299" s="54"/>
      <c r="E299" s="54">
        <f t="shared" si="70"/>
        <v>0</v>
      </c>
      <c r="F299" s="54"/>
      <c r="G299" s="54"/>
      <c r="H299" s="180"/>
      <c r="I299" s="54"/>
      <c r="J299" s="62"/>
      <c r="K299" s="62"/>
      <c r="L299" s="200"/>
      <c r="M299" s="200"/>
      <c r="N299" s="200"/>
    </row>
    <row r="300" spans="1:14" x14ac:dyDescent="0.3">
      <c r="A300" s="51" t="s">
        <v>699</v>
      </c>
      <c r="B300" s="52"/>
      <c r="C300" s="54"/>
      <c r="D300" s="54"/>
      <c r="E300" s="54">
        <f t="shared" si="70"/>
        <v>0</v>
      </c>
      <c r="F300" s="54"/>
      <c r="G300" s="54"/>
      <c r="H300" s="180"/>
      <c r="I300" s="54"/>
      <c r="J300" s="53"/>
      <c r="K300" s="53"/>
      <c r="L300" s="200"/>
      <c r="M300" s="200"/>
      <c r="N300" s="200"/>
    </row>
    <row r="301" spans="1:14" x14ac:dyDescent="0.3">
      <c r="A301" s="50" t="s">
        <v>75</v>
      </c>
      <c r="B301" s="52"/>
      <c r="C301" s="54"/>
      <c r="D301" s="54"/>
      <c r="E301" s="54">
        <f t="shared" si="70"/>
        <v>0</v>
      </c>
      <c r="F301" s="54"/>
      <c r="G301" s="54"/>
      <c r="H301" s="180"/>
      <c r="I301" s="54"/>
      <c r="J301" s="53"/>
      <c r="K301" s="53"/>
      <c r="L301" s="200"/>
      <c r="M301" s="200"/>
      <c r="N301" s="200"/>
    </row>
    <row r="302" spans="1:14" x14ac:dyDescent="0.3">
      <c r="A302" s="51" t="s">
        <v>74</v>
      </c>
      <c r="B302" s="52"/>
      <c r="C302" s="54"/>
      <c r="D302" s="54"/>
      <c r="E302" s="54"/>
      <c r="F302" s="54"/>
      <c r="G302" s="54"/>
      <c r="H302" s="180"/>
      <c r="I302" s="54"/>
      <c r="J302" s="53"/>
      <c r="K302" s="53"/>
      <c r="L302" s="200"/>
      <c r="M302" s="200"/>
      <c r="N302" s="200"/>
    </row>
    <row r="303" spans="1:14" ht="14.5" thickBot="1" x14ac:dyDescent="0.35">
      <c r="A303" s="69" t="s">
        <v>1236</v>
      </c>
      <c r="B303" s="56" t="s">
        <v>1237</v>
      </c>
      <c r="C303" s="68"/>
      <c r="D303" s="68">
        <v>-500000</v>
      </c>
      <c r="E303" s="68">
        <f t="shared" si="70"/>
        <v>-500000</v>
      </c>
      <c r="F303" s="68"/>
      <c r="G303" s="53">
        <f t="shared" ref="G303" si="80">E303+F303</f>
        <v>-500000</v>
      </c>
      <c r="H303" s="173"/>
      <c r="I303" s="69">
        <f>G303+H303</f>
        <v>-500000</v>
      </c>
      <c r="J303" s="69"/>
      <c r="K303" s="69"/>
      <c r="L303" s="200"/>
      <c r="M303" s="200"/>
      <c r="N303" s="53">
        <f>I303-L303-M303</f>
        <v>-500000</v>
      </c>
    </row>
    <row r="304" spans="1:14" ht="14.5" thickBot="1" x14ac:dyDescent="0.35">
      <c r="A304" s="59" t="s">
        <v>202</v>
      </c>
      <c r="B304" s="57"/>
      <c r="C304" s="92">
        <f>SUM(C303)</f>
        <v>0</v>
      </c>
      <c r="D304" s="92">
        <f>SUM(D303)</f>
        <v>-500000</v>
      </c>
      <c r="E304" s="92">
        <f t="shared" ref="E304:N304" si="81">SUM(E303)</f>
        <v>-500000</v>
      </c>
      <c r="F304" s="92">
        <f t="shared" si="81"/>
        <v>0</v>
      </c>
      <c r="G304" s="92">
        <f t="shared" si="81"/>
        <v>-500000</v>
      </c>
      <c r="H304" s="181">
        <f t="shared" si="81"/>
        <v>0</v>
      </c>
      <c r="I304" s="92">
        <f t="shared" si="81"/>
        <v>-500000</v>
      </c>
      <c r="J304" s="92">
        <f t="shared" si="81"/>
        <v>0</v>
      </c>
      <c r="K304" s="92">
        <f t="shared" si="81"/>
        <v>0</v>
      </c>
      <c r="L304" s="92">
        <f t="shared" si="81"/>
        <v>0</v>
      </c>
      <c r="M304" s="92">
        <f t="shared" si="81"/>
        <v>0</v>
      </c>
      <c r="N304" s="92">
        <f t="shared" si="81"/>
        <v>-500000</v>
      </c>
    </row>
    <row r="305" spans="1:16" ht="14.5" thickTop="1" x14ac:dyDescent="0.3">
      <c r="A305" s="61"/>
      <c r="B305" s="61"/>
      <c r="C305" s="54"/>
      <c r="D305" s="54"/>
      <c r="E305" s="54"/>
      <c r="F305" s="54"/>
      <c r="G305" s="54"/>
      <c r="H305" s="180"/>
      <c r="I305" s="54"/>
      <c r="J305" s="62"/>
      <c r="K305" s="62"/>
      <c r="L305" s="200"/>
      <c r="M305" s="200"/>
      <c r="N305" s="200"/>
    </row>
    <row r="306" spans="1:16" x14ac:dyDescent="0.3">
      <c r="A306" s="51" t="s">
        <v>460</v>
      </c>
      <c r="B306" s="52"/>
      <c r="C306" s="54"/>
      <c r="D306" s="54"/>
      <c r="E306" s="54">
        <f t="shared" si="70"/>
        <v>0</v>
      </c>
      <c r="F306" s="54"/>
      <c r="G306" s="54"/>
      <c r="H306" s="180"/>
      <c r="I306" s="54"/>
      <c r="J306" s="53"/>
      <c r="K306" s="53"/>
      <c r="L306" s="200"/>
      <c r="M306" s="200"/>
      <c r="N306" s="200"/>
    </row>
    <row r="307" spans="1:16" x14ac:dyDescent="0.3">
      <c r="A307" s="52"/>
      <c r="B307" s="51" t="s">
        <v>461</v>
      </c>
      <c r="C307" s="54"/>
      <c r="D307" s="54"/>
      <c r="E307" s="54">
        <f t="shared" si="70"/>
        <v>0</v>
      </c>
      <c r="F307" s="54"/>
      <c r="G307" s="54"/>
      <c r="H307" s="180"/>
      <c r="I307" s="54"/>
      <c r="J307" s="53"/>
      <c r="K307" s="53"/>
      <c r="L307" s="200"/>
      <c r="M307" s="200"/>
      <c r="N307" s="200"/>
    </row>
    <row r="308" spans="1:16" s="201" customFormat="1" x14ac:dyDescent="0.3">
      <c r="A308" s="51" t="s">
        <v>104</v>
      </c>
      <c r="B308" s="51" t="s">
        <v>46</v>
      </c>
      <c r="C308" s="66">
        <v>0</v>
      </c>
      <c r="D308" s="66"/>
      <c r="E308" s="66">
        <f t="shared" si="70"/>
        <v>0</v>
      </c>
      <c r="F308" s="66"/>
      <c r="G308" s="67">
        <f t="shared" ref="G308:G337" si="82">E308+F308</f>
        <v>0</v>
      </c>
      <c r="H308" s="233">
        <v>28575.34</v>
      </c>
      <c r="I308" s="83">
        <f t="shared" ref="I308:I337" si="83">G308+H308</f>
        <v>28575.34</v>
      </c>
      <c r="J308" s="67">
        <f t="shared" ref="J308:J316" si="84">C308*104.6%</f>
        <v>0</v>
      </c>
      <c r="K308" s="67">
        <f t="shared" ref="K308:K338" si="85">J308*104.6%</f>
        <v>0</v>
      </c>
      <c r="L308" s="234">
        <v>28575.34</v>
      </c>
      <c r="M308" s="234"/>
      <c r="N308" s="67">
        <f t="shared" ref="N308:N337" si="86">I308-L308-M308</f>
        <v>0</v>
      </c>
      <c r="O308" s="213"/>
      <c r="P308" s="213"/>
    </row>
    <row r="309" spans="1:16" x14ac:dyDescent="0.3">
      <c r="A309" s="52" t="s">
        <v>98</v>
      </c>
      <c r="B309" s="52" t="s">
        <v>99</v>
      </c>
      <c r="C309" s="54">
        <v>0</v>
      </c>
      <c r="D309" s="54"/>
      <c r="E309" s="54">
        <f t="shared" si="70"/>
        <v>0</v>
      </c>
      <c r="F309" s="54"/>
      <c r="G309" s="53">
        <f t="shared" si="82"/>
        <v>0</v>
      </c>
      <c r="H309" s="170"/>
      <c r="I309" s="69">
        <f t="shared" si="83"/>
        <v>0</v>
      </c>
      <c r="J309" s="53">
        <f t="shared" si="84"/>
        <v>0</v>
      </c>
      <c r="K309" s="53">
        <f t="shared" si="85"/>
        <v>0</v>
      </c>
      <c r="L309" s="200"/>
      <c r="M309" s="200"/>
      <c r="N309" s="53">
        <f t="shared" si="86"/>
        <v>0</v>
      </c>
    </row>
    <row r="310" spans="1:16" x14ac:dyDescent="0.3">
      <c r="A310" s="52" t="s">
        <v>111</v>
      </c>
      <c r="B310" s="52" t="s">
        <v>112</v>
      </c>
      <c r="C310" s="54">
        <v>0</v>
      </c>
      <c r="D310" s="54"/>
      <c r="E310" s="54">
        <f t="shared" si="70"/>
        <v>0</v>
      </c>
      <c r="F310" s="54"/>
      <c r="G310" s="53">
        <f t="shared" si="82"/>
        <v>0</v>
      </c>
      <c r="H310" s="170"/>
      <c r="I310" s="69">
        <f t="shared" si="83"/>
        <v>0</v>
      </c>
      <c r="J310" s="53">
        <f t="shared" si="84"/>
        <v>0</v>
      </c>
      <c r="K310" s="53">
        <f t="shared" si="85"/>
        <v>0</v>
      </c>
      <c r="L310" s="200"/>
      <c r="M310" s="200"/>
      <c r="N310" s="53">
        <f t="shared" si="86"/>
        <v>0</v>
      </c>
    </row>
    <row r="311" spans="1:16" x14ac:dyDescent="0.3">
      <c r="A311" s="52" t="s">
        <v>102</v>
      </c>
      <c r="B311" s="52" t="s">
        <v>103</v>
      </c>
      <c r="C311" s="54">
        <v>0</v>
      </c>
      <c r="D311" s="54"/>
      <c r="E311" s="54">
        <f t="shared" si="70"/>
        <v>0</v>
      </c>
      <c r="F311" s="54"/>
      <c r="G311" s="53">
        <f t="shared" si="82"/>
        <v>0</v>
      </c>
      <c r="H311" s="170"/>
      <c r="I311" s="69">
        <f t="shared" si="83"/>
        <v>0</v>
      </c>
      <c r="J311" s="53">
        <f t="shared" si="84"/>
        <v>0</v>
      </c>
      <c r="K311" s="53">
        <f t="shared" si="85"/>
        <v>0</v>
      </c>
      <c r="L311" s="200"/>
      <c r="M311" s="200"/>
      <c r="N311" s="53">
        <f t="shared" si="86"/>
        <v>0</v>
      </c>
    </row>
    <row r="312" spans="1:16" s="201" customFormat="1" x14ac:dyDescent="0.3">
      <c r="A312" s="51" t="s">
        <v>97</v>
      </c>
      <c r="B312" s="51" t="s">
        <v>45</v>
      </c>
      <c r="C312" s="66">
        <v>0</v>
      </c>
      <c r="D312" s="66"/>
      <c r="E312" s="66">
        <f t="shared" si="70"/>
        <v>0</v>
      </c>
      <c r="F312" s="66"/>
      <c r="G312" s="67">
        <f t="shared" si="82"/>
        <v>0</v>
      </c>
      <c r="H312" s="233">
        <v>834</v>
      </c>
      <c r="I312" s="83">
        <f t="shared" si="83"/>
        <v>834</v>
      </c>
      <c r="J312" s="67">
        <f t="shared" si="84"/>
        <v>0</v>
      </c>
      <c r="K312" s="67">
        <f t="shared" si="85"/>
        <v>0</v>
      </c>
      <c r="L312" s="234">
        <v>834</v>
      </c>
      <c r="M312" s="234"/>
      <c r="N312" s="67">
        <f t="shared" si="86"/>
        <v>0</v>
      </c>
      <c r="O312" s="213"/>
      <c r="P312" s="213"/>
    </row>
    <row r="313" spans="1:16" x14ac:dyDescent="0.3">
      <c r="A313" s="52" t="s">
        <v>109</v>
      </c>
      <c r="B313" s="52" t="s">
        <v>110</v>
      </c>
      <c r="C313" s="54">
        <v>0</v>
      </c>
      <c r="D313" s="54"/>
      <c r="E313" s="54">
        <f t="shared" si="70"/>
        <v>0</v>
      </c>
      <c r="F313" s="54"/>
      <c r="G313" s="53">
        <f t="shared" si="82"/>
        <v>0</v>
      </c>
      <c r="H313" s="170"/>
      <c r="I313" s="69">
        <f t="shared" si="83"/>
        <v>0</v>
      </c>
      <c r="J313" s="53">
        <f t="shared" si="84"/>
        <v>0</v>
      </c>
      <c r="K313" s="53">
        <f t="shared" si="85"/>
        <v>0</v>
      </c>
      <c r="L313" s="200"/>
      <c r="M313" s="200"/>
      <c r="N313" s="53">
        <f t="shared" si="86"/>
        <v>0</v>
      </c>
    </row>
    <row r="314" spans="1:16" x14ac:dyDescent="0.3">
      <c r="A314" s="52" t="s">
        <v>100</v>
      </c>
      <c r="B314" s="52" t="s">
        <v>101</v>
      </c>
      <c r="C314" s="54">
        <v>0</v>
      </c>
      <c r="D314" s="54"/>
      <c r="E314" s="54">
        <f t="shared" si="70"/>
        <v>0</v>
      </c>
      <c r="F314" s="54"/>
      <c r="G314" s="53">
        <f t="shared" si="82"/>
        <v>0</v>
      </c>
      <c r="H314" s="170"/>
      <c r="I314" s="69">
        <f t="shared" si="83"/>
        <v>0</v>
      </c>
      <c r="J314" s="53">
        <f t="shared" si="84"/>
        <v>0</v>
      </c>
      <c r="K314" s="53">
        <f t="shared" si="85"/>
        <v>0</v>
      </c>
      <c r="L314" s="200"/>
      <c r="M314" s="200"/>
      <c r="N314" s="53">
        <f t="shared" si="86"/>
        <v>0</v>
      </c>
    </row>
    <row r="315" spans="1:16" s="201" customFormat="1" x14ac:dyDescent="0.3">
      <c r="A315" s="51" t="s">
        <v>95</v>
      </c>
      <c r="B315" s="51" t="s">
        <v>96</v>
      </c>
      <c r="C315" s="66">
        <v>0</v>
      </c>
      <c r="D315" s="66"/>
      <c r="E315" s="66">
        <f t="shared" si="70"/>
        <v>0</v>
      </c>
      <c r="F315" s="66"/>
      <c r="G315" s="67">
        <f t="shared" si="82"/>
        <v>0</v>
      </c>
      <c r="H315" s="233">
        <v>399278.36</v>
      </c>
      <c r="I315" s="83">
        <f t="shared" si="83"/>
        <v>399278.36</v>
      </c>
      <c r="J315" s="67">
        <f t="shared" si="84"/>
        <v>0</v>
      </c>
      <c r="K315" s="67">
        <f t="shared" si="85"/>
        <v>0</v>
      </c>
      <c r="L315" s="234">
        <v>399278.36</v>
      </c>
      <c r="M315" s="234"/>
      <c r="N315" s="67">
        <f t="shared" si="86"/>
        <v>0</v>
      </c>
      <c r="O315" s="213"/>
      <c r="P315" s="213"/>
    </row>
    <row r="316" spans="1:16" x14ac:dyDescent="0.3">
      <c r="A316" s="52" t="s">
        <v>511</v>
      </c>
      <c r="B316" s="52" t="s">
        <v>42</v>
      </c>
      <c r="C316" s="54">
        <v>0</v>
      </c>
      <c r="D316" s="54"/>
      <c r="E316" s="54">
        <f t="shared" si="70"/>
        <v>0</v>
      </c>
      <c r="F316" s="54"/>
      <c r="G316" s="53">
        <f t="shared" si="82"/>
        <v>0</v>
      </c>
      <c r="H316" s="170"/>
      <c r="I316" s="69">
        <f t="shared" si="83"/>
        <v>0</v>
      </c>
      <c r="J316" s="53">
        <f t="shared" si="84"/>
        <v>0</v>
      </c>
      <c r="K316" s="53">
        <f t="shared" si="85"/>
        <v>0</v>
      </c>
      <c r="L316" s="200"/>
      <c r="M316" s="200"/>
      <c r="N316" s="53">
        <f t="shared" si="86"/>
        <v>0</v>
      </c>
    </row>
    <row r="317" spans="1:16" x14ac:dyDescent="0.3">
      <c r="A317" s="52" t="s">
        <v>1312</v>
      </c>
      <c r="B317" s="52" t="s">
        <v>1313</v>
      </c>
      <c r="C317" s="54"/>
      <c r="D317" s="54"/>
      <c r="E317" s="54">
        <f t="shared" si="70"/>
        <v>0</v>
      </c>
      <c r="F317" s="54">
        <v>5000000</v>
      </c>
      <c r="G317" s="53">
        <f t="shared" si="82"/>
        <v>5000000</v>
      </c>
      <c r="H317" s="170"/>
      <c r="I317" s="69">
        <f t="shared" si="83"/>
        <v>5000000</v>
      </c>
      <c r="J317" s="53"/>
      <c r="K317" s="53"/>
      <c r="L317" s="200">
        <v>4980000</v>
      </c>
      <c r="M317" s="200"/>
      <c r="N317" s="53">
        <f t="shared" si="86"/>
        <v>20000</v>
      </c>
    </row>
    <row r="318" spans="1:16" x14ac:dyDescent="0.3">
      <c r="A318" s="52"/>
      <c r="B318" s="51" t="s">
        <v>849</v>
      </c>
      <c r="C318" s="54"/>
      <c r="D318" s="54"/>
      <c r="E318" s="54">
        <f t="shared" si="70"/>
        <v>0</v>
      </c>
      <c r="F318" s="54"/>
      <c r="G318" s="53">
        <f t="shared" si="82"/>
        <v>0</v>
      </c>
      <c r="H318" s="170"/>
      <c r="I318" s="69">
        <f t="shared" si="83"/>
        <v>0</v>
      </c>
      <c r="J318" s="53"/>
      <c r="K318" s="53"/>
      <c r="L318" s="200"/>
      <c r="M318" s="200"/>
      <c r="N318" s="53">
        <f t="shared" si="86"/>
        <v>0</v>
      </c>
    </row>
    <row r="319" spans="1:16" x14ac:dyDescent="0.3">
      <c r="A319" s="52" t="s">
        <v>850</v>
      </c>
      <c r="B319" s="52" t="s">
        <v>851</v>
      </c>
      <c r="C319" s="54">
        <v>100000</v>
      </c>
      <c r="D319" s="54"/>
      <c r="E319" s="54">
        <f t="shared" si="70"/>
        <v>100000</v>
      </c>
      <c r="F319" s="54"/>
      <c r="G319" s="53">
        <f t="shared" si="82"/>
        <v>100000</v>
      </c>
      <c r="H319" s="170">
        <v>79000</v>
      </c>
      <c r="I319" s="69">
        <f t="shared" si="83"/>
        <v>179000</v>
      </c>
      <c r="J319" s="53">
        <f>C319*104.6%</f>
        <v>104600</v>
      </c>
      <c r="K319" s="53">
        <f t="shared" ref="K319:K321" si="87">J319*104.6%</f>
        <v>109411.6</v>
      </c>
      <c r="L319" s="200">
        <v>98000</v>
      </c>
      <c r="M319" s="200">
        <v>81000</v>
      </c>
      <c r="N319" s="53">
        <f t="shared" si="86"/>
        <v>0</v>
      </c>
    </row>
    <row r="320" spans="1:16" x14ac:dyDescent="0.3">
      <c r="A320" s="52" t="s">
        <v>852</v>
      </c>
      <c r="B320" s="52" t="s">
        <v>853</v>
      </c>
      <c r="C320" s="54">
        <v>80000</v>
      </c>
      <c r="D320" s="54"/>
      <c r="E320" s="54">
        <f t="shared" si="70"/>
        <v>80000</v>
      </c>
      <c r="F320" s="54"/>
      <c r="G320" s="53">
        <f t="shared" si="82"/>
        <v>80000</v>
      </c>
      <c r="H320" s="170">
        <v>-30000</v>
      </c>
      <c r="I320" s="69">
        <f t="shared" si="83"/>
        <v>50000</v>
      </c>
      <c r="J320" s="53">
        <f>C320*104.6%</f>
        <v>83680</v>
      </c>
      <c r="K320" s="53">
        <f t="shared" si="87"/>
        <v>87529.279999999999</v>
      </c>
      <c r="L320" s="200">
        <v>43675</v>
      </c>
      <c r="M320" s="200"/>
      <c r="N320" s="53">
        <f t="shared" si="86"/>
        <v>6325</v>
      </c>
    </row>
    <row r="321" spans="1:14" x14ac:dyDescent="0.3">
      <c r="A321" s="52" t="s">
        <v>854</v>
      </c>
      <c r="B321" s="52" t="s">
        <v>855</v>
      </c>
      <c r="C321" s="54">
        <v>70000</v>
      </c>
      <c r="D321" s="54"/>
      <c r="E321" s="54">
        <f t="shared" si="70"/>
        <v>70000</v>
      </c>
      <c r="F321" s="54"/>
      <c r="G321" s="53">
        <f t="shared" si="82"/>
        <v>70000</v>
      </c>
      <c r="H321" s="170">
        <f>-20000+100000</f>
        <v>80000</v>
      </c>
      <c r="I321" s="69">
        <f t="shared" si="83"/>
        <v>150000</v>
      </c>
      <c r="J321" s="53">
        <f>C321*104.6%</f>
        <v>73220</v>
      </c>
      <c r="K321" s="53">
        <f t="shared" si="87"/>
        <v>76588.12000000001</v>
      </c>
      <c r="L321" s="200"/>
      <c r="M321" s="200"/>
      <c r="N321" s="53">
        <f t="shared" si="86"/>
        <v>150000</v>
      </c>
    </row>
    <row r="322" spans="1:14" x14ac:dyDescent="0.3">
      <c r="A322" s="52" t="s">
        <v>1064</v>
      </c>
      <c r="B322" s="52" t="s">
        <v>1063</v>
      </c>
      <c r="C322" s="54">
        <v>40000</v>
      </c>
      <c r="D322" s="54"/>
      <c r="E322" s="54">
        <f t="shared" si="70"/>
        <v>40000</v>
      </c>
      <c r="F322" s="54"/>
      <c r="G322" s="53">
        <f t="shared" si="82"/>
        <v>40000</v>
      </c>
      <c r="H322" s="170"/>
      <c r="I322" s="69">
        <f t="shared" si="83"/>
        <v>40000</v>
      </c>
      <c r="J322" s="53">
        <f>C322*104.6%</f>
        <v>41840</v>
      </c>
      <c r="K322" s="53">
        <f t="shared" ref="K322:K324" si="88">J322*104.6%</f>
        <v>43764.639999999999</v>
      </c>
      <c r="L322" s="200">
        <v>29400</v>
      </c>
      <c r="M322" s="200"/>
      <c r="N322" s="53">
        <f t="shared" si="86"/>
        <v>10600</v>
      </c>
    </row>
    <row r="323" spans="1:14" x14ac:dyDescent="0.3">
      <c r="A323" s="52"/>
      <c r="B323" s="52"/>
      <c r="C323" s="54"/>
      <c r="D323" s="54"/>
      <c r="E323" s="54">
        <f t="shared" si="70"/>
        <v>0</v>
      </c>
      <c r="F323" s="54"/>
      <c r="G323" s="53">
        <f t="shared" si="82"/>
        <v>0</v>
      </c>
      <c r="H323" s="170"/>
      <c r="I323" s="69">
        <f t="shared" si="83"/>
        <v>0</v>
      </c>
      <c r="J323" s="53"/>
      <c r="K323" s="53"/>
      <c r="L323" s="200"/>
      <c r="M323" s="200"/>
      <c r="N323" s="53">
        <f t="shared" si="86"/>
        <v>0</v>
      </c>
    </row>
    <row r="324" spans="1:14" x14ac:dyDescent="0.3">
      <c r="A324" s="52" t="s">
        <v>1065</v>
      </c>
      <c r="B324" s="52" t="s">
        <v>871</v>
      </c>
      <c r="C324" s="54">
        <v>250000</v>
      </c>
      <c r="D324" s="54"/>
      <c r="E324" s="54">
        <f t="shared" si="70"/>
        <v>250000</v>
      </c>
      <c r="F324" s="54"/>
      <c r="G324" s="53">
        <f t="shared" si="82"/>
        <v>250000</v>
      </c>
      <c r="H324" s="170">
        <v>50000</v>
      </c>
      <c r="I324" s="69">
        <f t="shared" si="83"/>
        <v>300000</v>
      </c>
      <c r="J324" s="53">
        <f>C324*104.6%</f>
        <v>261500</v>
      </c>
      <c r="K324" s="53">
        <f t="shared" si="88"/>
        <v>273529</v>
      </c>
      <c r="L324" s="200">
        <v>235850</v>
      </c>
      <c r="M324" s="200"/>
      <c r="N324" s="53">
        <f t="shared" si="86"/>
        <v>64150</v>
      </c>
    </row>
    <row r="325" spans="1:14" x14ac:dyDescent="0.3">
      <c r="A325" s="52"/>
      <c r="B325" s="52"/>
      <c r="C325" s="54"/>
      <c r="D325" s="54"/>
      <c r="E325" s="54">
        <f t="shared" si="70"/>
        <v>0</v>
      </c>
      <c r="F325" s="54"/>
      <c r="G325" s="53">
        <f t="shared" si="82"/>
        <v>0</v>
      </c>
      <c r="H325" s="170"/>
      <c r="I325" s="69">
        <f t="shared" si="83"/>
        <v>0</v>
      </c>
      <c r="J325" s="53"/>
      <c r="K325" s="53"/>
      <c r="L325" s="200"/>
      <c r="M325" s="200"/>
      <c r="N325" s="53">
        <f t="shared" si="86"/>
        <v>0</v>
      </c>
    </row>
    <row r="326" spans="1:14" x14ac:dyDescent="0.3">
      <c r="A326" s="52"/>
      <c r="B326" s="51" t="s">
        <v>856</v>
      </c>
      <c r="C326" s="54"/>
      <c r="D326" s="54"/>
      <c r="E326" s="54">
        <f t="shared" si="70"/>
        <v>0</v>
      </c>
      <c r="F326" s="54"/>
      <c r="G326" s="53">
        <f t="shared" si="82"/>
        <v>0</v>
      </c>
      <c r="H326" s="170"/>
      <c r="I326" s="69">
        <f t="shared" si="83"/>
        <v>0</v>
      </c>
      <c r="J326" s="53"/>
      <c r="K326" s="53"/>
      <c r="L326" s="200"/>
      <c r="M326" s="200"/>
      <c r="N326" s="53">
        <f t="shared" si="86"/>
        <v>0</v>
      </c>
    </row>
    <row r="327" spans="1:14" x14ac:dyDescent="0.3">
      <c r="A327" s="52" t="s">
        <v>857</v>
      </c>
      <c r="B327" s="52" t="s">
        <v>858</v>
      </c>
      <c r="C327" s="54">
        <v>650000</v>
      </c>
      <c r="D327" s="54"/>
      <c r="E327" s="54">
        <f t="shared" si="70"/>
        <v>650000</v>
      </c>
      <c r="F327" s="54"/>
      <c r="G327" s="53">
        <f t="shared" si="82"/>
        <v>650000</v>
      </c>
      <c r="H327" s="170">
        <f>243685.86-43685.86</f>
        <v>200000</v>
      </c>
      <c r="I327" s="69">
        <f t="shared" si="83"/>
        <v>850000</v>
      </c>
      <c r="J327" s="53">
        <f>C327*104.6%</f>
        <v>679900</v>
      </c>
      <c r="K327" s="53">
        <f t="shared" ref="K327:K330" si="89">J327*104.6%</f>
        <v>711175.4</v>
      </c>
      <c r="L327" s="200"/>
      <c r="M327" s="200"/>
      <c r="N327" s="53">
        <f t="shared" si="86"/>
        <v>850000</v>
      </c>
    </row>
    <row r="328" spans="1:14" x14ac:dyDescent="0.3">
      <c r="A328" s="52" t="s">
        <v>859</v>
      </c>
      <c r="B328" s="52" t="s">
        <v>860</v>
      </c>
      <c r="C328" s="54">
        <v>400000</v>
      </c>
      <c r="D328" s="54"/>
      <c r="E328" s="54">
        <f t="shared" si="70"/>
        <v>400000</v>
      </c>
      <c r="F328" s="54"/>
      <c r="G328" s="53">
        <f t="shared" si="82"/>
        <v>400000</v>
      </c>
      <c r="H328" s="170"/>
      <c r="I328" s="69">
        <f t="shared" si="83"/>
        <v>400000</v>
      </c>
      <c r="J328" s="53">
        <f>C328*104.6%</f>
        <v>418400</v>
      </c>
      <c r="K328" s="53">
        <f t="shared" si="89"/>
        <v>437646.4</v>
      </c>
      <c r="L328" s="200"/>
      <c r="M328" s="200"/>
      <c r="N328" s="53">
        <f t="shared" si="86"/>
        <v>400000</v>
      </c>
    </row>
    <row r="329" spans="1:14" x14ac:dyDescent="0.3">
      <c r="A329" s="52" t="s">
        <v>861</v>
      </c>
      <c r="B329" s="166" t="s">
        <v>862</v>
      </c>
      <c r="C329" s="54">
        <v>500000</v>
      </c>
      <c r="D329" s="54"/>
      <c r="E329" s="54">
        <f t="shared" si="70"/>
        <v>500000</v>
      </c>
      <c r="F329" s="54"/>
      <c r="G329" s="53">
        <f t="shared" si="82"/>
        <v>500000</v>
      </c>
      <c r="H329" s="170">
        <f>((-50000+200000+200000)--1068002)--1509276.99000001</f>
        <v>2927278.9900000095</v>
      </c>
      <c r="I329" s="69">
        <f t="shared" si="83"/>
        <v>3427278.9900000095</v>
      </c>
      <c r="J329" s="53">
        <f>C329*104.6%</f>
        <v>523000</v>
      </c>
      <c r="K329" s="53">
        <f t="shared" si="89"/>
        <v>547058</v>
      </c>
      <c r="L329" s="200">
        <v>254300</v>
      </c>
      <c r="M329" s="200"/>
      <c r="N329" s="53">
        <f t="shared" si="86"/>
        <v>3172978.9900000095</v>
      </c>
    </row>
    <row r="330" spans="1:14" x14ac:dyDescent="0.3">
      <c r="A330" s="52" t="s">
        <v>863</v>
      </c>
      <c r="B330" s="52" t="s">
        <v>864</v>
      </c>
      <c r="C330" s="54">
        <v>30000</v>
      </c>
      <c r="D330" s="54"/>
      <c r="E330" s="54">
        <f t="shared" si="70"/>
        <v>30000</v>
      </c>
      <c r="F330" s="54"/>
      <c r="G330" s="53">
        <f t="shared" si="82"/>
        <v>30000</v>
      </c>
      <c r="H330" s="170">
        <v>-10000</v>
      </c>
      <c r="I330" s="69">
        <f t="shared" si="83"/>
        <v>20000</v>
      </c>
      <c r="J330" s="53">
        <f>C330*104.6%</f>
        <v>31380</v>
      </c>
      <c r="K330" s="53">
        <f t="shared" si="89"/>
        <v>32823.480000000003</v>
      </c>
      <c r="L330" s="200"/>
      <c r="M330" s="200"/>
      <c r="N330" s="53">
        <f t="shared" si="86"/>
        <v>20000</v>
      </c>
    </row>
    <row r="331" spans="1:14" x14ac:dyDescent="0.3">
      <c r="A331" s="52" t="s">
        <v>1310</v>
      </c>
      <c r="B331" s="52" t="s">
        <v>1311</v>
      </c>
      <c r="C331" s="54"/>
      <c r="D331" s="54"/>
      <c r="E331" s="54"/>
      <c r="F331" s="54">
        <v>1000000</v>
      </c>
      <c r="G331" s="53">
        <f t="shared" si="82"/>
        <v>1000000</v>
      </c>
      <c r="H331" s="170"/>
      <c r="I331" s="69">
        <f t="shared" si="83"/>
        <v>1000000</v>
      </c>
      <c r="J331" s="53"/>
      <c r="K331" s="53"/>
      <c r="L331" s="200">
        <v>141200</v>
      </c>
      <c r="M331" s="200">
        <v>29000</v>
      </c>
      <c r="N331" s="53">
        <f t="shared" si="86"/>
        <v>829800</v>
      </c>
    </row>
    <row r="332" spans="1:14" x14ac:dyDescent="0.3">
      <c r="A332" s="52"/>
      <c r="B332" s="52"/>
      <c r="C332" s="54"/>
      <c r="D332" s="54"/>
      <c r="E332" s="54"/>
      <c r="F332" s="54"/>
      <c r="G332" s="53"/>
      <c r="H332" s="170"/>
      <c r="I332" s="69">
        <f t="shared" si="83"/>
        <v>0</v>
      </c>
      <c r="J332" s="53"/>
      <c r="K332" s="53"/>
      <c r="L332" s="200"/>
      <c r="M332" s="200"/>
      <c r="N332" s="53"/>
    </row>
    <row r="333" spans="1:14" x14ac:dyDescent="0.3">
      <c r="A333" s="52" t="s">
        <v>1358</v>
      </c>
      <c r="B333" s="52" t="s">
        <v>205</v>
      </c>
      <c r="C333" s="54"/>
      <c r="D333" s="54"/>
      <c r="E333" s="54"/>
      <c r="F333" s="54"/>
      <c r="G333" s="53"/>
      <c r="H333" s="170"/>
      <c r="I333" s="69">
        <f t="shared" si="83"/>
        <v>0</v>
      </c>
      <c r="J333" s="53"/>
      <c r="K333" s="53"/>
      <c r="L333" s="200"/>
      <c r="M333" s="200"/>
      <c r="N333" s="53"/>
    </row>
    <row r="334" spans="1:14" x14ac:dyDescent="0.3">
      <c r="A334" s="52"/>
      <c r="B334" s="52"/>
      <c r="C334" s="54">
        <v>0</v>
      </c>
      <c r="D334" s="54"/>
      <c r="E334" s="54">
        <f t="shared" si="70"/>
        <v>0</v>
      </c>
      <c r="F334" s="54"/>
      <c r="G334" s="53">
        <f t="shared" si="82"/>
        <v>0</v>
      </c>
      <c r="H334" s="170"/>
      <c r="I334" s="69">
        <f t="shared" si="83"/>
        <v>0</v>
      </c>
      <c r="J334" s="53">
        <f>C334*104.6%</f>
        <v>0</v>
      </c>
      <c r="K334" s="53">
        <f t="shared" si="85"/>
        <v>0</v>
      </c>
      <c r="L334" s="200"/>
      <c r="M334" s="200"/>
      <c r="N334" s="53">
        <f t="shared" si="86"/>
        <v>0</v>
      </c>
    </row>
    <row r="335" spans="1:14" x14ac:dyDescent="0.3">
      <c r="A335" s="52" t="s">
        <v>1244</v>
      </c>
      <c r="B335" s="52" t="s">
        <v>1232</v>
      </c>
      <c r="C335" s="54"/>
      <c r="D335" s="54">
        <v>500000</v>
      </c>
      <c r="E335" s="54">
        <f t="shared" si="70"/>
        <v>500000</v>
      </c>
      <c r="F335" s="54"/>
      <c r="G335" s="53">
        <f t="shared" si="82"/>
        <v>500000</v>
      </c>
      <c r="H335" s="170"/>
      <c r="I335" s="69">
        <f t="shared" si="83"/>
        <v>500000</v>
      </c>
      <c r="J335" s="53"/>
      <c r="K335" s="53"/>
      <c r="L335" s="200"/>
      <c r="M335" s="200"/>
      <c r="N335" s="53">
        <f t="shared" si="86"/>
        <v>500000</v>
      </c>
    </row>
    <row r="336" spans="1:14" x14ac:dyDescent="0.3">
      <c r="A336" s="52" t="s">
        <v>441</v>
      </c>
      <c r="B336" s="52" t="s">
        <v>431</v>
      </c>
      <c r="C336" s="54">
        <v>45000</v>
      </c>
      <c r="D336" s="54"/>
      <c r="E336" s="54">
        <f t="shared" si="70"/>
        <v>45000</v>
      </c>
      <c r="F336" s="54"/>
      <c r="G336" s="53">
        <f t="shared" si="82"/>
        <v>45000</v>
      </c>
      <c r="H336" s="170"/>
      <c r="I336" s="69">
        <f t="shared" si="83"/>
        <v>45000</v>
      </c>
      <c r="J336" s="53">
        <f>C336*104.6%</f>
        <v>47070</v>
      </c>
      <c r="K336" s="53">
        <f t="shared" si="85"/>
        <v>49235.22</v>
      </c>
      <c r="L336" s="200"/>
      <c r="M336" s="200"/>
      <c r="N336" s="53">
        <f t="shared" si="86"/>
        <v>45000</v>
      </c>
    </row>
    <row r="337" spans="1:14" x14ac:dyDescent="0.3">
      <c r="A337" s="52" t="s">
        <v>107</v>
      </c>
      <c r="B337" s="52" t="s">
        <v>108</v>
      </c>
      <c r="C337" s="54">
        <v>88652.176975000024</v>
      </c>
      <c r="D337" s="54"/>
      <c r="E337" s="54">
        <f t="shared" si="70"/>
        <v>88652.176975000024</v>
      </c>
      <c r="F337" s="54"/>
      <c r="G337" s="53">
        <f t="shared" si="82"/>
        <v>88652.176975000024</v>
      </c>
      <c r="H337" s="170">
        <v>4387.55796250001</v>
      </c>
      <c r="I337" s="69">
        <f t="shared" si="83"/>
        <v>93039.734937500034</v>
      </c>
      <c r="J337" s="53">
        <f>C337*104.6%</f>
        <v>92730.177115850034</v>
      </c>
      <c r="K337" s="53">
        <f t="shared" si="85"/>
        <v>96995.765263179142</v>
      </c>
      <c r="L337" s="200">
        <v>45739.43</v>
      </c>
      <c r="M337" s="200"/>
      <c r="N337" s="53">
        <f t="shared" si="86"/>
        <v>47300.304937500034</v>
      </c>
    </row>
    <row r="338" spans="1:14" ht="14.5" thickBot="1" x14ac:dyDescent="0.35">
      <c r="A338" s="56"/>
      <c r="B338" s="56"/>
      <c r="C338" s="68">
        <v>0</v>
      </c>
      <c r="D338" s="68"/>
      <c r="E338" s="54">
        <f t="shared" si="70"/>
        <v>0</v>
      </c>
      <c r="F338" s="54"/>
      <c r="G338" s="54"/>
      <c r="H338" s="180"/>
      <c r="I338" s="54"/>
      <c r="J338" s="53">
        <f>C338*104.6%</f>
        <v>0</v>
      </c>
      <c r="K338" s="53">
        <f t="shared" si="85"/>
        <v>0</v>
      </c>
      <c r="L338" s="200"/>
      <c r="M338" s="200"/>
      <c r="N338" s="53">
        <f t="shared" ref="N338" si="90">I338-L338</f>
        <v>0</v>
      </c>
    </row>
    <row r="339" spans="1:14" ht="14.5" thickBot="1" x14ac:dyDescent="0.35">
      <c r="A339" s="57" t="s">
        <v>678</v>
      </c>
      <c r="B339" s="57"/>
      <c r="C339" s="92">
        <f>SUM(C308:C338)</f>
        <v>2253652.1769750002</v>
      </c>
      <c r="D339" s="92">
        <f t="shared" ref="D339:N339" si="91">SUM(D308:D338)</f>
        <v>500000</v>
      </c>
      <c r="E339" s="92">
        <f t="shared" si="91"/>
        <v>2753652.1769750002</v>
      </c>
      <c r="F339" s="92">
        <f t="shared" si="91"/>
        <v>6000000</v>
      </c>
      <c r="G339" s="92">
        <f t="shared" si="91"/>
        <v>8753652.1769750006</v>
      </c>
      <c r="H339" s="181">
        <f t="shared" si="91"/>
        <v>3729354.2479625097</v>
      </c>
      <c r="I339" s="92">
        <f t="shared" si="91"/>
        <v>12483006.424937509</v>
      </c>
      <c r="J339" s="92">
        <f t="shared" si="91"/>
        <v>2357320.1771158502</v>
      </c>
      <c r="K339" s="92">
        <f t="shared" si="91"/>
        <v>2465756.9052631794</v>
      </c>
      <c r="L339" s="92">
        <f>SUM(L308:L338)</f>
        <v>6256852.1299999999</v>
      </c>
      <c r="M339" s="92">
        <f>SUM(M308:M338)</f>
        <v>110000</v>
      </c>
      <c r="N339" s="92">
        <f t="shared" si="91"/>
        <v>6116154.2949375091</v>
      </c>
    </row>
    <row r="340" spans="1:14" ht="14.5" thickTop="1" x14ac:dyDescent="0.3">
      <c r="A340" s="74"/>
      <c r="B340" s="74"/>
      <c r="C340" s="91"/>
      <c r="D340" s="91"/>
      <c r="E340" s="54">
        <f t="shared" si="70"/>
        <v>0</v>
      </c>
      <c r="F340" s="68"/>
      <c r="G340" s="68"/>
      <c r="H340" s="183"/>
      <c r="I340" s="68"/>
      <c r="J340" s="91"/>
      <c r="K340" s="91"/>
      <c r="L340" s="200"/>
      <c r="M340" s="200"/>
      <c r="N340" s="200"/>
    </row>
    <row r="341" spans="1:14" x14ac:dyDescent="0.3">
      <c r="A341" s="51" t="s">
        <v>79</v>
      </c>
      <c r="B341" s="52"/>
      <c r="C341" s="53"/>
      <c r="D341" s="53"/>
      <c r="E341" s="54">
        <f t="shared" si="70"/>
        <v>0</v>
      </c>
      <c r="F341" s="54"/>
      <c r="G341" s="54"/>
      <c r="H341" s="180"/>
      <c r="I341" s="54"/>
      <c r="J341" s="53"/>
      <c r="K341" s="53"/>
      <c r="L341" s="200"/>
      <c r="M341" s="200"/>
      <c r="N341" s="200"/>
    </row>
    <row r="342" spans="1:14" x14ac:dyDescent="0.3">
      <c r="A342" s="52" t="s">
        <v>118</v>
      </c>
      <c r="B342" s="52" t="s">
        <v>57</v>
      </c>
      <c r="C342" s="54">
        <v>7283006.7075000023</v>
      </c>
      <c r="D342" s="54"/>
      <c r="E342" s="54">
        <f t="shared" si="70"/>
        <v>7283006.7075000023</v>
      </c>
      <c r="F342" s="54"/>
      <c r="G342" s="53">
        <f t="shared" ref="G342:G357" si="92">E342+F342</f>
        <v>7283006.7075000023</v>
      </c>
      <c r="H342" s="170">
        <v>420304.33249999769</v>
      </c>
      <c r="I342" s="69">
        <f t="shared" ref="I342:I357" si="93">G342+H342</f>
        <v>7703311.04</v>
      </c>
      <c r="J342" s="53">
        <f t="shared" ref="J342:J357" si="94">C342*104.6%</f>
        <v>7618025.0160450032</v>
      </c>
      <c r="K342" s="53">
        <f t="shared" ref="K342:K357" si="95">J342*104.6%</f>
        <v>7968454.1667830739</v>
      </c>
      <c r="L342" s="200">
        <v>4647232.2700000005</v>
      </c>
      <c r="M342" s="200"/>
      <c r="N342" s="53">
        <f t="shared" ref="N342:N357" si="96">I342-L342-M342</f>
        <v>3056078.7699999996</v>
      </c>
    </row>
    <row r="343" spans="1:14" x14ac:dyDescent="0.3">
      <c r="A343" s="52" t="s">
        <v>119</v>
      </c>
      <c r="B343" s="52" t="s">
        <v>58</v>
      </c>
      <c r="C343" s="54">
        <v>316022.21770833334</v>
      </c>
      <c r="D343" s="54"/>
      <c r="E343" s="54">
        <f t="shared" si="70"/>
        <v>316022.21770833334</v>
      </c>
      <c r="F343" s="54"/>
      <c r="G343" s="53">
        <f t="shared" si="92"/>
        <v>316022.21770833334</v>
      </c>
      <c r="H343" s="170">
        <v>28340.712291666656</v>
      </c>
      <c r="I343" s="69">
        <f t="shared" si="93"/>
        <v>344362.93</v>
      </c>
      <c r="J343" s="53">
        <f t="shared" si="94"/>
        <v>330559.23972291668</v>
      </c>
      <c r="K343" s="53">
        <f t="shared" si="95"/>
        <v>345764.96475017088</v>
      </c>
      <c r="L343" s="200">
        <v>344362.93</v>
      </c>
      <c r="M343" s="200"/>
      <c r="N343" s="53">
        <f t="shared" si="96"/>
        <v>0</v>
      </c>
    </row>
    <row r="344" spans="1:14" x14ac:dyDescent="0.3">
      <c r="A344" s="52" t="s">
        <v>120</v>
      </c>
      <c r="B344" s="52" t="s">
        <v>59</v>
      </c>
      <c r="C344" s="54">
        <v>3019.6800000000007</v>
      </c>
      <c r="D344" s="54"/>
      <c r="E344" s="54">
        <f t="shared" si="70"/>
        <v>3019.6800000000007</v>
      </c>
      <c r="F344" s="54"/>
      <c r="G344" s="53">
        <f t="shared" si="92"/>
        <v>3019.6800000000007</v>
      </c>
      <c r="H344" s="170">
        <v>0</v>
      </c>
      <c r="I344" s="69">
        <f t="shared" si="93"/>
        <v>3019.6800000000007</v>
      </c>
      <c r="J344" s="53">
        <f t="shared" si="94"/>
        <v>3158.5852800000007</v>
      </c>
      <c r="K344" s="53">
        <f t="shared" si="95"/>
        <v>3303.880202880001</v>
      </c>
      <c r="L344" s="200">
        <v>1940.4</v>
      </c>
      <c r="M344" s="200"/>
      <c r="N344" s="53">
        <f t="shared" si="96"/>
        <v>1079.2800000000007</v>
      </c>
    </row>
    <row r="345" spans="1:14" x14ac:dyDescent="0.3">
      <c r="A345" s="52" t="s">
        <v>121</v>
      </c>
      <c r="B345" s="52" t="s">
        <v>60</v>
      </c>
      <c r="C345" s="54">
        <v>273781.59999999998</v>
      </c>
      <c r="D345" s="54"/>
      <c r="E345" s="54">
        <f t="shared" ref="E345:E363" si="97">C345+D345</f>
        <v>273781.59999999998</v>
      </c>
      <c r="F345" s="54"/>
      <c r="G345" s="53">
        <f t="shared" si="92"/>
        <v>273781.59999999998</v>
      </c>
      <c r="H345" s="170">
        <v>111404</v>
      </c>
      <c r="I345" s="69">
        <f t="shared" si="93"/>
        <v>385185.6</v>
      </c>
      <c r="J345" s="53">
        <f t="shared" si="94"/>
        <v>286375.55359999998</v>
      </c>
      <c r="K345" s="53">
        <f t="shared" si="95"/>
        <v>299548.8290656</v>
      </c>
      <c r="L345" s="200">
        <v>236409</v>
      </c>
      <c r="M345" s="200"/>
      <c r="N345" s="53">
        <f t="shared" si="96"/>
        <v>148776.59999999998</v>
      </c>
    </row>
    <row r="346" spans="1:14" x14ac:dyDescent="0.3">
      <c r="A346" s="52" t="s">
        <v>122</v>
      </c>
      <c r="B346" s="52" t="s">
        <v>123</v>
      </c>
      <c r="C346" s="54">
        <v>780488.63233125</v>
      </c>
      <c r="D346" s="54"/>
      <c r="E346" s="54">
        <f t="shared" si="97"/>
        <v>780488.63233125</v>
      </c>
      <c r="F346" s="54"/>
      <c r="G346" s="53">
        <f t="shared" si="92"/>
        <v>780488.63233125</v>
      </c>
      <c r="H346" s="170">
        <v>311554.49465625011</v>
      </c>
      <c r="I346" s="69">
        <f t="shared" si="93"/>
        <v>1092043.1269875001</v>
      </c>
      <c r="J346" s="53">
        <f t="shared" si="94"/>
        <v>816391.10941848753</v>
      </c>
      <c r="K346" s="53">
        <f t="shared" si="95"/>
        <v>853945.10045173799</v>
      </c>
      <c r="L346" s="200">
        <v>668657.88</v>
      </c>
      <c r="M346" s="200"/>
      <c r="N346" s="53">
        <f t="shared" si="96"/>
        <v>423385.24698750011</v>
      </c>
    </row>
    <row r="347" spans="1:14" x14ac:dyDescent="0.3">
      <c r="A347" s="52" t="s">
        <v>124</v>
      </c>
      <c r="B347" s="52" t="s">
        <v>61</v>
      </c>
      <c r="C347" s="54">
        <v>45215.999999999993</v>
      </c>
      <c r="D347" s="54"/>
      <c r="E347" s="54">
        <f t="shared" si="97"/>
        <v>45215.999999999993</v>
      </c>
      <c r="F347" s="54"/>
      <c r="G347" s="53">
        <f t="shared" si="92"/>
        <v>45215.999999999993</v>
      </c>
      <c r="H347" s="170">
        <v>3569.2799999999988</v>
      </c>
      <c r="I347" s="69">
        <f t="shared" si="93"/>
        <v>48785.279999999992</v>
      </c>
      <c r="J347" s="53">
        <f t="shared" si="94"/>
        <v>47295.935999999994</v>
      </c>
      <c r="K347" s="53">
        <f t="shared" si="95"/>
        <v>49471.549055999996</v>
      </c>
      <c r="L347" s="200">
        <v>28228.079999999998</v>
      </c>
      <c r="M347" s="200"/>
      <c r="N347" s="53">
        <f t="shared" si="96"/>
        <v>20557.199999999993</v>
      </c>
    </row>
    <row r="348" spans="1:14" x14ac:dyDescent="0.3">
      <c r="A348" s="52" t="s">
        <v>595</v>
      </c>
      <c r="B348" s="52" t="s">
        <v>593</v>
      </c>
      <c r="C348" s="54">
        <v>50000</v>
      </c>
      <c r="D348" s="54"/>
      <c r="E348" s="54">
        <f t="shared" si="97"/>
        <v>50000</v>
      </c>
      <c r="F348" s="54"/>
      <c r="G348" s="53">
        <f t="shared" si="92"/>
        <v>50000</v>
      </c>
      <c r="H348" s="170">
        <v>-50000</v>
      </c>
      <c r="I348" s="69">
        <f t="shared" si="93"/>
        <v>0</v>
      </c>
      <c r="J348" s="53">
        <f t="shared" si="94"/>
        <v>52300</v>
      </c>
      <c r="K348" s="53">
        <f t="shared" si="95"/>
        <v>54705.8</v>
      </c>
      <c r="L348" s="200">
        <v>0</v>
      </c>
      <c r="M348" s="200"/>
      <c r="N348" s="53">
        <f t="shared" si="96"/>
        <v>0</v>
      </c>
    </row>
    <row r="349" spans="1:14" x14ac:dyDescent="0.3">
      <c r="A349" s="52" t="s">
        <v>125</v>
      </c>
      <c r="B349" s="52" t="s">
        <v>126</v>
      </c>
      <c r="C349" s="54">
        <v>544433.79749999999</v>
      </c>
      <c r="D349" s="54"/>
      <c r="E349" s="54">
        <f t="shared" si="97"/>
        <v>544433.79749999999</v>
      </c>
      <c r="F349" s="54"/>
      <c r="G349" s="53">
        <f t="shared" si="92"/>
        <v>544433.79749999999</v>
      </c>
      <c r="H349" s="170">
        <v>49433.8125</v>
      </c>
      <c r="I349" s="69">
        <f t="shared" si="93"/>
        <v>593867.61</v>
      </c>
      <c r="J349" s="53">
        <f t="shared" si="94"/>
        <v>569477.75218499999</v>
      </c>
      <c r="K349" s="53">
        <f t="shared" si="95"/>
        <v>595673.72878551006</v>
      </c>
      <c r="L349" s="200">
        <v>359760.44</v>
      </c>
      <c r="M349" s="200"/>
      <c r="N349" s="53">
        <f t="shared" si="96"/>
        <v>234107.16999999998</v>
      </c>
    </row>
    <row r="350" spans="1:14" x14ac:dyDescent="0.3">
      <c r="A350" s="52" t="s">
        <v>127</v>
      </c>
      <c r="B350" s="52" t="s">
        <v>62</v>
      </c>
      <c r="C350" s="54">
        <v>10893.24</v>
      </c>
      <c r="D350" s="54"/>
      <c r="E350" s="54">
        <f t="shared" si="97"/>
        <v>10893.24</v>
      </c>
      <c r="F350" s="54"/>
      <c r="G350" s="53">
        <f t="shared" si="92"/>
        <v>10893.24</v>
      </c>
      <c r="H350" s="170">
        <v>22479</v>
      </c>
      <c r="I350" s="69">
        <f t="shared" si="93"/>
        <v>33372.239999999998</v>
      </c>
      <c r="J350" s="53">
        <f t="shared" si="94"/>
        <v>11394.329040000001</v>
      </c>
      <c r="K350" s="53">
        <f t="shared" si="95"/>
        <v>11918.46817584</v>
      </c>
      <c r="L350" s="200">
        <v>13503.140000000001</v>
      </c>
      <c r="M350" s="200"/>
      <c r="N350" s="53">
        <f t="shared" si="96"/>
        <v>19869.099999999999</v>
      </c>
    </row>
    <row r="351" spans="1:14" x14ac:dyDescent="0.3">
      <c r="A351" s="52" t="s">
        <v>128</v>
      </c>
      <c r="B351" s="52" t="s">
        <v>63</v>
      </c>
      <c r="C351" s="54">
        <v>15000</v>
      </c>
      <c r="D351" s="54"/>
      <c r="E351" s="54">
        <f t="shared" si="97"/>
        <v>15000</v>
      </c>
      <c r="F351" s="54"/>
      <c r="G351" s="53">
        <f t="shared" si="92"/>
        <v>15000</v>
      </c>
      <c r="H351" s="170">
        <v>0</v>
      </c>
      <c r="I351" s="69">
        <f t="shared" si="93"/>
        <v>15000</v>
      </c>
      <c r="J351" s="53">
        <f t="shared" si="94"/>
        <v>15690</v>
      </c>
      <c r="K351" s="53">
        <f t="shared" si="95"/>
        <v>16411.740000000002</v>
      </c>
      <c r="L351" s="200">
        <v>9253.01</v>
      </c>
      <c r="M351" s="200"/>
      <c r="N351" s="53">
        <f t="shared" si="96"/>
        <v>5746.99</v>
      </c>
    </row>
    <row r="352" spans="1:14" x14ac:dyDescent="0.3">
      <c r="A352" s="52" t="s">
        <v>129</v>
      </c>
      <c r="B352" s="52" t="s">
        <v>663</v>
      </c>
      <c r="C352" s="54">
        <v>561000</v>
      </c>
      <c r="D352" s="54"/>
      <c r="E352" s="54">
        <f t="shared" si="97"/>
        <v>561000</v>
      </c>
      <c r="F352" s="54"/>
      <c r="G352" s="53">
        <f t="shared" si="92"/>
        <v>561000</v>
      </c>
      <c r="H352" s="170">
        <v>0</v>
      </c>
      <c r="I352" s="69">
        <f t="shared" si="93"/>
        <v>561000</v>
      </c>
      <c r="J352" s="53">
        <f t="shared" si="94"/>
        <v>586806</v>
      </c>
      <c r="K352" s="53">
        <f t="shared" si="95"/>
        <v>613799.076</v>
      </c>
      <c r="L352" s="200">
        <v>327250</v>
      </c>
      <c r="M352" s="200"/>
      <c r="N352" s="53">
        <f t="shared" si="96"/>
        <v>233750</v>
      </c>
    </row>
    <row r="353" spans="1:16" x14ac:dyDescent="0.3">
      <c r="A353" s="52" t="s">
        <v>130</v>
      </c>
      <c r="B353" s="52" t="s">
        <v>64</v>
      </c>
      <c r="C353" s="54">
        <v>75000</v>
      </c>
      <c r="D353" s="54"/>
      <c r="E353" s="54">
        <f t="shared" si="97"/>
        <v>75000</v>
      </c>
      <c r="F353" s="54"/>
      <c r="G353" s="53">
        <f t="shared" si="92"/>
        <v>75000</v>
      </c>
      <c r="H353" s="170">
        <v>25000</v>
      </c>
      <c r="I353" s="69">
        <f t="shared" si="93"/>
        <v>100000</v>
      </c>
      <c r="J353" s="53">
        <f t="shared" si="94"/>
        <v>78450</v>
      </c>
      <c r="K353" s="53">
        <f t="shared" si="95"/>
        <v>82058.7</v>
      </c>
      <c r="L353" s="200">
        <v>68098.969999999987</v>
      </c>
      <c r="M353" s="200"/>
      <c r="N353" s="53">
        <f t="shared" si="96"/>
        <v>31901.030000000013</v>
      </c>
    </row>
    <row r="354" spans="1:16" x14ac:dyDescent="0.3">
      <c r="A354" s="52" t="s">
        <v>669</v>
      </c>
      <c r="B354" s="52" t="s">
        <v>131</v>
      </c>
      <c r="C354" s="54">
        <v>742387.65120000008</v>
      </c>
      <c r="D354" s="54"/>
      <c r="E354" s="54">
        <f t="shared" si="97"/>
        <v>742387.65120000008</v>
      </c>
      <c r="F354" s="54"/>
      <c r="G354" s="53">
        <f t="shared" si="92"/>
        <v>742387.65120000008</v>
      </c>
      <c r="H354" s="170">
        <v>2141.0687999998918</v>
      </c>
      <c r="I354" s="69">
        <f t="shared" si="93"/>
        <v>744528.72</v>
      </c>
      <c r="J354" s="53">
        <f t="shared" si="94"/>
        <v>776537.48315520014</v>
      </c>
      <c r="K354" s="53">
        <f t="shared" si="95"/>
        <v>812258.20738033939</v>
      </c>
      <c r="L354" s="200">
        <v>434308.42</v>
      </c>
      <c r="M354" s="200"/>
      <c r="N354" s="53">
        <f t="shared" si="96"/>
        <v>310220.3</v>
      </c>
    </row>
    <row r="355" spans="1:16" x14ac:dyDescent="0.3">
      <c r="A355" s="52" t="s">
        <v>132</v>
      </c>
      <c r="B355" s="52" t="s">
        <v>133</v>
      </c>
      <c r="C355" s="54">
        <v>150000</v>
      </c>
      <c r="D355" s="54"/>
      <c r="E355" s="54">
        <f t="shared" si="97"/>
        <v>150000</v>
      </c>
      <c r="F355" s="54"/>
      <c r="G355" s="53">
        <f t="shared" si="92"/>
        <v>150000</v>
      </c>
      <c r="H355" s="170">
        <v>-150000</v>
      </c>
      <c r="I355" s="69">
        <f t="shared" si="93"/>
        <v>0</v>
      </c>
      <c r="J355" s="53">
        <f t="shared" si="94"/>
        <v>156900</v>
      </c>
      <c r="K355" s="53">
        <f t="shared" si="95"/>
        <v>164117.4</v>
      </c>
      <c r="L355" s="200">
        <v>0</v>
      </c>
      <c r="M355" s="200"/>
      <c r="N355" s="53">
        <f t="shared" si="96"/>
        <v>0</v>
      </c>
    </row>
    <row r="356" spans="1:16" x14ac:dyDescent="0.3">
      <c r="A356" s="52" t="s">
        <v>134</v>
      </c>
      <c r="B356" s="52" t="s">
        <v>135</v>
      </c>
      <c r="C356" s="54">
        <v>1784.6399999999999</v>
      </c>
      <c r="D356" s="54"/>
      <c r="E356" s="54">
        <f t="shared" si="97"/>
        <v>1784.6399999999999</v>
      </c>
      <c r="F356" s="54"/>
      <c r="G356" s="53">
        <f t="shared" si="92"/>
        <v>1784.6399999999999</v>
      </c>
      <c r="H356" s="170">
        <v>0</v>
      </c>
      <c r="I356" s="69">
        <f t="shared" si="93"/>
        <v>1784.6399999999999</v>
      </c>
      <c r="J356" s="53">
        <f t="shared" si="94"/>
        <v>1866.73344</v>
      </c>
      <c r="K356" s="53">
        <f t="shared" si="95"/>
        <v>1952.60317824</v>
      </c>
      <c r="L356" s="200">
        <v>1041.04</v>
      </c>
      <c r="M356" s="200"/>
      <c r="N356" s="53">
        <f t="shared" si="96"/>
        <v>743.59999999999991</v>
      </c>
    </row>
    <row r="357" spans="1:16" ht="14.5" thickBot="1" x14ac:dyDescent="0.35">
      <c r="A357" s="56" t="s">
        <v>136</v>
      </c>
      <c r="B357" s="56" t="s">
        <v>137</v>
      </c>
      <c r="C357" s="54">
        <v>237944.76</v>
      </c>
      <c r="D357" s="54"/>
      <c r="E357" s="54">
        <f t="shared" si="97"/>
        <v>237944.76</v>
      </c>
      <c r="F357" s="54"/>
      <c r="G357" s="53">
        <f t="shared" si="92"/>
        <v>237944.76</v>
      </c>
      <c r="H357" s="170">
        <v>10231.440000000002</v>
      </c>
      <c r="I357" s="69">
        <f t="shared" si="93"/>
        <v>248176.2</v>
      </c>
      <c r="J357" s="53">
        <f t="shared" si="94"/>
        <v>248890.21896000003</v>
      </c>
      <c r="K357" s="53">
        <f t="shared" si="95"/>
        <v>260339.16903216005</v>
      </c>
      <c r="L357" s="200">
        <v>144769.45000000001</v>
      </c>
      <c r="M357" s="200"/>
      <c r="N357" s="53">
        <f t="shared" si="96"/>
        <v>103406.75</v>
      </c>
    </row>
    <row r="358" spans="1:16" ht="14.5" thickBot="1" x14ac:dyDescent="0.35">
      <c r="A358" s="57" t="s">
        <v>139</v>
      </c>
      <c r="B358" s="58"/>
      <c r="C358" s="59">
        <f t="shared" ref="C358:N358" si="98">SUM(C342:C357)</f>
        <v>11089978.926239586</v>
      </c>
      <c r="D358" s="59">
        <f t="shared" si="98"/>
        <v>0</v>
      </c>
      <c r="E358" s="59">
        <f t="shared" si="98"/>
        <v>11089978.926239586</v>
      </c>
      <c r="F358" s="59">
        <f t="shared" si="98"/>
        <v>0</v>
      </c>
      <c r="G358" s="59">
        <f t="shared" si="98"/>
        <v>11089978.926239586</v>
      </c>
      <c r="H358" s="171">
        <f t="shared" si="98"/>
        <v>784458.14074791432</v>
      </c>
      <c r="I358" s="59">
        <f t="shared" si="98"/>
        <v>11874437.0669875</v>
      </c>
      <c r="J358" s="59">
        <f t="shared" si="98"/>
        <v>11600117.95684661</v>
      </c>
      <c r="K358" s="59">
        <f t="shared" si="98"/>
        <v>12133723.382861551</v>
      </c>
      <c r="L358" s="59">
        <f t="shared" si="98"/>
        <v>7284815.0300000003</v>
      </c>
      <c r="M358" s="59">
        <f t="shared" si="98"/>
        <v>0</v>
      </c>
      <c r="N358" s="59">
        <f t="shared" si="98"/>
        <v>4589622.0369874993</v>
      </c>
    </row>
    <row r="359" spans="1:16" ht="15" thickTop="1" thickBot="1" x14ac:dyDescent="0.35">
      <c r="A359" s="188"/>
      <c r="B359" s="188"/>
      <c r="C359" s="94"/>
      <c r="D359" s="94"/>
      <c r="E359" s="68">
        <f t="shared" si="97"/>
        <v>0</v>
      </c>
      <c r="F359" s="68"/>
      <c r="G359" s="68"/>
      <c r="H359" s="183"/>
      <c r="I359" s="68"/>
      <c r="J359" s="94"/>
      <c r="K359" s="94"/>
      <c r="L359" s="202"/>
      <c r="M359" s="202"/>
      <c r="N359" s="202"/>
    </row>
    <row r="360" spans="1:16" s="201" customFormat="1" ht="14.5" thickBot="1" x14ac:dyDescent="0.35">
      <c r="A360" s="75" t="s">
        <v>700</v>
      </c>
      <c r="B360" s="75"/>
      <c r="C360" s="100">
        <f>C358+C339</f>
        <v>13343631.103214586</v>
      </c>
      <c r="D360" s="100">
        <f t="shared" ref="D360:N360" si="99">D358+D339</f>
        <v>500000</v>
      </c>
      <c r="E360" s="100">
        <f t="shared" si="99"/>
        <v>13843631.103214586</v>
      </c>
      <c r="F360" s="100">
        <f t="shared" si="99"/>
        <v>6000000</v>
      </c>
      <c r="G360" s="100">
        <f t="shared" si="99"/>
        <v>19843631.103214584</v>
      </c>
      <c r="H360" s="190">
        <f t="shared" si="99"/>
        <v>4513812.3887104243</v>
      </c>
      <c r="I360" s="100">
        <f t="shared" si="99"/>
        <v>24357443.491925009</v>
      </c>
      <c r="J360" s="100">
        <f t="shared" si="99"/>
        <v>13957438.13396246</v>
      </c>
      <c r="K360" s="100">
        <f t="shared" si="99"/>
        <v>14599480.288124731</v>
      </c>
      <c r="L360" s="100">
        <f t="shared" si="99"/>
        <v>13541667.16</v>
      </c>
      <c r="M360" s="100">
        <f t="shared" si="99"/>
        <v>110000</v>
      </c>
      <c r="N360" s="100">
        <f t="shared" si="99"/>
        <v>10705776.331925008</v>
      </c>
      <c r="O360" s="213"/>
      <c r="P360" s="213"/>
    </row>
    <row r="361" spans="1:16" s="201" customFormat="1" ht="14.5" thickBot="1" x14ac:dyDescent="0.35">
      <c r="A361" s="74"/>
      <c r="B361" s="74"/>
      <c r="C361" s="80"/>
      <c r="D361" s="80"/>
      <c r="E361" s="68">
        <f t="shared" si="97"/>
        <v>0</v>
      </c>
      <c r="F361" s="68"/>
      <c r="G361" s="68"/>
      <c r="H361" s="183"/>
      <c r="I361" s="68"/>
      <c r="J361" s="80"/>
      <c r="K361" s="80"/>
      <c r="L361" s="212"/>
      <c r="M361" s="212"/>
      <c r="N361" s="212"/>
      <c r="O361" s="213"/>
      <c r="P361" s="213"/>
    </row>
    <row r="362" spans="1:16" ht="14.5" thickBot="1" x14ac:dyDescent="0.35">
      <c r="A362" s="70" t="s">
        <v>848</v>
      </c>
      <c r="B362" s="70"/>
      <c r="C362" s="72">
        <f>C360+C298+C257+C173+C42</f>
        <v>30960631.103214584</v>
      </c>
      <c r="D362" s="72">
        <f>D360+D298+D257+D173+D42</f>
        <v>500000</v>
      </c>
      <c r="E362" s="72">
        <f>E360+E298+E257+E173+E42</f>
        <v>31460631.103214584</v>
      </c>
      <c r="F362" s="72">
        <f t="shared" ref="F362:N362" si="100">F360+F298+F257+F173+F42</f>
        <v>7000000</v>
      </c>
      <c r="G362" s="72">
        <f t="shared" si="100"/>
        <v>38460631.103214584</v>
      </c>
      <c r="H362" s="177">
        <f t="shared" si="100"/>
        <v>-379802.57847388578</v>
      </c>
      <c r="I362" s="72">
        <f t="shared" si="100"/>
        <v>38080828.524740696</v>
      </c>
      <c r="J362" s="72">
        <f t="shared" si="100"/>
        <v>32884820.13396246</v>
      </c>
      <c r="K362" s="72">
        <f t="shared" si="100"/>
        <v>33874521.860124737</v>
      </c>
      <c r="L362" s="72">
        <f t="shared" si="100"/>
        <v>21008934.380000003</v>
      </c>
      <c r="M362" s="72">
        <f t="shared" si="100"/>
        <v>315169.08999999997</v>
      </c>
      <c r="N362" s="72">
        <f t="shared" si="100"/>
        <v>16756725.054740699</v>
      </c>
    </row>
    <row r="363" spans="1:16" ht="15" thickTop="1" thickBot="1" x14ac:dyDescent="0.35">
      <c r="A363" s="116"/>
      <c r="B363" s="74"/>
      <c r="C363" s="80"/>
      <c r="D363" s="80"/>
      <c r="E363" s="54">
        <f t="shared" si="97"/>
        <v>0</v>
      </c>
      <c r="F363" s="68"/>
      <c r="G363" s="68"/>
      <c r="H363" s="183"/>
      <c r="I363" s="68"/>
      <c r="J363" s="80"/>
      <c r="K363" s="80"/>
      <c r="L363" s="80"/>
      <c r="M363" s="80"/>
      <c r="N363" s="80"/>
    </row>
    <row r="364" spans="1:16" ht="15" thickTop="1" thickBot="1" x14ac:dyDescent="0.35">
      <c r="A364" s="102" t="s">
        <v>696</v>
      </c>
      <c r="B364" s="81"/>
      <c r="C364" s="119">
        <f t="shared" ref="C364:N364" si="101">C362+C304+C10</f>
        <v>30960631.103214584</v>
      </c>
      <c r="D364" s="119">
        <f t="shared" si="101"/>
        <v>0</v>
      </c>
      <c r="E364" s="119">
        <f t="shared" si="101"/>
        <v>30960631.103214584</v>
      </c>
      <c r="F364" s="119">
        <f t="shared" si="101"/>
        <v>7000000</v>
      </c>
      <c r="G364" s="119">
        <f t="shared" si="101"/>
        <v>37960631.103214584</v>
      </c>
      <c r="H364" s="186">
        <f t="shared" si="101"/>
        <v>-379802.57847388578</v>
      </c>
      <c r="I364" s="119">
        <f t="shared" si="101"/>
        <v>37580828.524740696</v>
      </c>
      <c r="J364" s="119">
        <f t="shared" si="101"/>
        <v>32384820.13396246</v>
      </c>
      <c r="K364" s="119">
        <f t="shared" si="101"/>
        <v>33874521.860124737</v>
      </c>
      <c r="L364" s="82">
        <f t="shared" si="101"/>
        <v>21008934.380000003</v>
      </c>
      <c r="M364" s="82">
        <f t="shared" si="101"/>
        <v>315169.08999999997</v>
      </c>
      <c r="N364" s="82">
        <f t="shared" si="101"/>
        <v>16256725.054740699</v>
      </c>
    </row>
    <row r="365" spans="1:16" ht="14.5" thickTop="1" x14ac:dyDescent="0.3"/>
  </sheetData>
  <sortState xmlns:xlrd2="http://schemas.microsoft.com/office/spreadsheetml/2017/richdata2" ref="A6:AM36">
    <sortCondition ref="B6:B36"/>
  </sortState>
  <mergeCells count="3">
    <mergeCell ref="A2:K2"/>
    <mergeCell ref="A44:B44"/>
    <mergeCell ref="A5:B5"/>
  </mergeCells>
  <printOptions gridLines="1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  <rowBreaks count="6" manualBreakCount="6">
    <brk id="67" max="10" man="1"/>
    <brk id="98" max="10" man="1"/>
    <brk id="121" max="10" man="1"/>
    <brk id="163" max="10" man="1"/>
    <brk id="195" max="10" man="1"/>
    <brk id="238" max="10" man="1"/>
  </rowBreaks>
  <ignoredErrors>
    <ignoredError sqref="H327 H329" 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1"/>
  <sheetViews>
    <sheetView view="pageBreakPreview" zoomScale="80" zoomScaleNormal="80" zoomScaleSheetLayoutView="80" workbookViewId="0">
      <pane xSplit="2" ySplit="3" topLeftCell="C220" activePane="bottomRight" state="frozen"/>
      <selection sqref="A1:XFD1048576"/>
      <selection pane="topRight" sqref="A1:XFD1048576"/>
      <selection pane="bottomLeft" sqref="A1:XFD1048576"/>
      <selection pane="bottomRight" activeCell="A2" sqref="A2:K2"/>
    </sheetView>
  </sheetViews>
  <sheetFormatPr defaultColWidth="9.1796875" defaultRowHeight="13" x14ac:dyDescent="0.3"/>
  <cols>
    <col min="1" max="1" width="39.54296875" style="63" bestFit="1" customWidth="1"/>
    <col min="2" max="2" width="56.54296875" style="63" customWidth="1"/>
    <col min="3" max="4" width="14.7265625" style="64" hidden="1" customWidth="1"/>
    <col min="5" max="5" width="13.36328125" style="64" bestFit="1" customWidth="1"/>
    <col min="6" max="6" width="14.7265625" style="64" hidden="1" customWidth="1"/>
    <col min="7" max="7" width="13.7265625" style="64" bestFit="1" customWidth="1"/>
    <col min="8" max="8" width="11.7265625" style="167" bestFit="1" customWidth="1"/>
    <col min="9" max="9" width="14.7265625" style="64" customWidth="1"/>
    <col min="10" max="11" width="14.26953125" style="64" customWidth="1"/>
    <col min="12" max="12" width="17.453125" style="64" bestFit="1" customWidth="1"/>
    <col min="13" max="13" width="13.81640625" style="64" customWidth="1"/>
    <col min="14" max="16" width="13.81640625" style="64" bestFit="1" customWidth="1"/>
    <col min="17" max="16384" width="9.1796875" style="63"/>
  </cols>
  <sheetData>
    <row r="1" spans="1:16" ht="13.5" thickBot="1" x14ac:dyDescent="0.35">
      <c r="B1" s="215">
        <f>'2020 2021 ADJU BUDGET SUMMARY'!J24</f>
        <v>-58996.24570569396</v>
      </c>
      <c r="C1" s="64">
        <f>'2020 2021 ADJU BUDGET SUMMARY'!J24</f>
        <v>-58996.24570569396</v>
      </c>
    </row>
    <row r="2" spans="1:16" ht="13.5" thickBot="1" x14ac:dyDescent="0.35">
      <c r="A2" s="244" t="s">
        <v>1364</v>
      </c>
      <c r="B2" s="245"/>
      <c r="C2" s="245"/>
      <c r="D2" s="245"/>
      <c r="E2" s="245"/>
      <c r="F2" s="245"/>
      <c r="G2" s="245"/>
      <c r="H2" s="245"/>
      <c r="I2" s="245"/>
      <c r="J2" s="245"/>
      <c r="K2" s="246"/>
    </row>
    <row r="3" spans="1:16" ht="30.75" customHeight="1" thickBot="1" x14ac:dyDescent="0.35">
      <c r="A3" s="75" t="s">
        <v>0</v>
      </c>
      <c r="B3" s="75" t="s">
        <v>1</v>
      </c>
      <c r="C3" s="163" t="s">
        <v>673</v>
      </c>
      <c r="D3" s="163" t="s">
        <v>1224</v>
      </c>
      <c r="E3" s="163" t="s">
        <v>1225</v>
      </c>
      <c r="F3" s="163" t="s">
        <v>1289</v>
      </c>
      <c r="G3" s="163" t="s">
        <v>1329</v>
      </c>
      <c r="H3" s="168" t="s">
        <v>1289</v>
      </c>
      <c r="I3" s="163" t="s">
        <v>1330</v>
      </c>
      <c r="J3" s="163" t="s">
        <v>674</v>
      </c>
      <c r="K3" s="163" t="s">
        <v>675</v>
      </c>
      <c r="L3" s="163" t="s">
        <v>1350</v>
      </c>
      <c r="M3" s="163" t="s">
        <v>1346</v>
      </c>
      <c r="N3" s="163" t="s">
        <v>1331</v>
      </c>
    </row>
    <row r="4" spans="1:16" x14ac:dyDescent="0.3">
      <c r="A4" s="60"/>
      <c r="B4" s="60"/>
      <c r="C4" s="66"/>
      <c r="D4" s="66"/>
      <c r="E4" s="66"/>
      <c r="F4" s="66"/>
      <c r="G4" s="66"/>
      <c r="H4" s="193"/>
      <c r="I4" s="66"/>
      <c r="J4" s="66"/>
      <c r="K4" s="66"/>
      <c r="L4" s="53"/>
      <c r="M4" s="53"/>
      <c r="N4" s="53"/>
    </row>
    <row r="5" spans="1:16" x14ac:dyDescent="0.3">
      <c r="A5" s="50" t="s">
        <v>686</v>
      </c>
      <c r="B5" s="50"/>
      <c r="C5" s="50"/>
      <c r="D5" s="50"/>
      <c r="E5" s="50"/>
      <c r="F5" s="50"/>
      <c r="G5" s="50"/>
      <c r="H5" s="169"/>
      <c r="I5" s="50"/>
      <c r="J5" s="50"/>
      <c r="K5" s="50"/>
      <c r="L5" s="53"/>
      <c r="M5" s="53"/>
      <c r="N5" s="53"/>
    </row>
    <row r="6" spans="1:16" x14ac:dyDescent="0.3">
      <c r="A6" s="50"/>
      <c r="B6" s="50"/>
      <c r="C6" s="50"/>
      <c r="D6" s="50"/>
      <c r="E6" s="50"/>
      <c r="F6" s="50"/>
      <c r="G6" s="50"/>
      <c r="H6" s="169"/>
      <c r="I6" s="50"/>
      <c r="J6" s="50"/>
      <c r="K6" s="50"/>
      <c r="L6" s="53"/>
      <c r="M6" s="53"/>
      <c r="N6" s="53"/>
    </row>
    <row r="7" spans="1:16" x14ac:dyDescent="0.3">
      <c r="A7" s="50" t="s">
        <v>75</v>
      </c>
      <c r="B7" s="50"/>
      <c r="C7" s="50"/>
      <c r="D7" s="50"/>
      <c r="E7" s="50"/>
      <c r="F7" s="50"/>
      <c r="G7" s="50"/>
      <c r="H7" s="169"/>
      <c r="I7" s="50"/>
      <c r="J7" s="50"/>
      <c r="K7" s="50"/>
      <c r="L7" s="53"/>
      <c r="M7" s="53"/>
      <c r="N7" s="53"/>
    </row>
    <row r="8" spans="1:16" x14ac:dyDescent="0.3">
      <c r="A8" s="51" t="s">
        <v>74</v>
      </c>
      <c r="B8" s="52"/>
      <c r="C8" s="53"/>
      <c r="D8" s="53"/>
      <c r="E8" s="53"/>
      <c r="F8" s="53"/>
      <c r="G8" s="53"/>
      <c r="H8" s="170"/>
      <c r="I8" s="53"/>
      <c r="J8" s="53"/>
      <c r="K8" s="53"/>
      <c r="L8" s="53"/>
      <c r="M8" s="53"/>
      <c r="N8" s="53"/>
    </row>
    <row r="9" spans="1:16" x14ac:dyDescent="0.3">
      <c r="A9" s="52" t="s">
        <v>601</v>
      </c>
      <c r="B9" s="52" t="s">
        <v>557</v>
      </c>
      <c r="C9" s="53">
        <v>-924000</v>
      </c>
      <c r="D9" s="53">
        <v>19000</v>
      </c>
      <c r="E9" s="53">
        <f>C9+D9</f>
        <v>-905000</v>
      </c>
      <c r="F9" s="53"/>
      <c r="G9" s="53">
        <f>E9+F9</f>
        <v>-905000</v>
      </c>
      <c r="H9" s="170"/>
      <c r="I9" s="69">
        <f>G9+H9</f>
        <v>-905000</v>
      </c>
      <c r="J9" s="53">
        <v>-935000</v>
      </c>
      <c r="K9" s="53">
        <v>-981000</v>
      </c>
      <c r="L9" s="53">
        <v>-905000</v>
      </c>
      <c r="M9" s="53"/>
      <c r="N9" s="53">
        <f>I9-L9-M9</f>
        <v>0</v>
      </c>
    </row>
    <row r="10" spans="1:16" ht="13.5" thickBot="1" x14ac:dyDescent="0.35">
      <c r="A10" s="56" t="s">
        <v>602</v>
      </c>
      <c r="B10" s="56" t="s">
        <v>558</v>
      </c>
      <c r="C10" s="53">
        <v>-893000</v>
      </c>
      <c r="D10" s="53">
        <v>-18000</v>
      </c>
      <c r="E10" s="53">
        <f t="shared" ref="E10:E73" si="0">C10+D10</f>
        <v>-911000</v>
      </c>
      <c r="F10" s="53"/>
      <c r="G10" s="53">
        <f>E10+F10</f>
        <v>-911000</v>
      </c>
      <c r="H10" s="170"/>
      <c r="I10" s="69">
        <f>G10+H10</f>
        <v>-911000</v>
      </c>
      <c r="J10" s="53">
        <v>-975000</v>
      </c>
      <c r="K10" s="53">
        <v>-1023000</v>
      </c>
      <c r="L10" s="53">
        <v>-671274.31</v>
      </c>
      <c r="M10" s="53"/>
      <c r="N10" s="53">
        <f>I10-L10-M10</f>
        <v>-239725.68999999994</v>
      </c>
    </row>
    <row r="11" spans="1:16" s="77" customFormat="1" ht="13.5" thickBot="1" x14ac:dyDescent="0.35">
      <c r="A11" s="57" t="s">
        <v>202</v>
      </c>
      <c r="B11" s="57"/>
      <c r="C11" s="59">
        <f>SUM(C9:C10)</f>
        <v>-1817000</v>
      </c>
      <c r="D11" s="59">
        <f>SUM(D9:D10)</f>
        <v>1000</v>
      </c>
      <c r="E11" s="59">
        <f>SUM(E9:E10)</f>
        <v>-1816000</v>
      </c>
      <c r="F11" s="59">
        <f t="shared" ref="F11:N11" si="1">SUM(F9:F10)</f>
        <v>0</v>
      </c>
      <c r="G11" s="59">
        <f t="shared" si="1"/>
        <v>-1816000</v>
      </c>
      <c r="H11" s="171">
        <f t="shared" si="1"/>
        <v>0</v>
      </c>
      <c r="I11" s="59">
        <f t="shared" si="1"/>
        <v>-1816000</v>
      </c>
      <c r="J11" s="59">
        <f t="shared" si="1"/>
        <v>-1910000</v>
      </c>
      <c r="K11" s="59">
        <f t="shared" si="1"/>
        <v>-2004000</v>
      </c>
      <c r="L11" s="59">
        <f t="shared" si="1"/>
        <v>-1576274.31</v>
      </c>
      <c r="M11" s="59">
        <f t="shared" si="1"/>
        <v>0</v>
      </c>
      <c r="N11" s="59">
        <f t="shared" si="1"/>
        <v>-239725.68999999994</v>
      </c>
      <c r="O11" s="76"/>
      <c r="P11" s="76"/>
    </row>
    <row r="12" spans="1:16" s="77" customFormat="1" ht="14" thickTop="1" thickBot="1" x14ac:dyDescent="0.35">
      <c r="A12" s="74"/>
      <c r="B12" s="74"/>
      <c r="C12" s="80"/>
      <c r="D12" s="80"/>
      <c r="E12" s="53">
        <f t="shared" si="0"/>
        <v>0</v>
      </c>
      <c r="F12" s="79"/>
      <c r="G12" s="79"/>
      <c r="H12" s="174"/>
      <c r="I12" s="79"/>
      <c r="J12" s="80"/>
      <c r="K12" s="80"/>
      <c r="L12" s="67"/>
      <c r="M12" s="67"/>
      <c r="N12" s="67"/>
      <c r="O12" s="76"/>
      <c r="P12" s="76"/>
    </row>
    <row r="13" spans="1:16" s="77" customFormat="1" ht="14" thickTop="1" thickBot="1" x14ac:dyDescent="0.35">
      <c r="A13" s="81" t="s">
        <v>81</v>
      </c>
      <c r="B13" s="81"/>
      <c r="C13" s="82">
        <f t="shared" ref="C13:N13" si="2">C11</f>
        <v>-1817000</v>
      </c>
      <c r="D13" s="82">
        <f t="shared" si="2"/>
        <v>1000</v>
      </c>
      <c r="E13" s="82">
        <f t="shared" si="2"/>
        <v>-1816000</v>
      </c>
      <c r="F13" s="82">
        <f t="shared" si="2"/>
        <v>0</v>
      </c>
      <c r="G13" s="82">
        <f t="shared" si="2"/>
        <v>-1816000</v>
      </c>
      <c r="H13" s="175">
        <f t="shared" si="2"/>
        <v>0</v>
      </c>
      <c r="I13" s="82">
        <f t="shared" si="2"/>
        <v>-1816000</v>
      </c>
      <c r="J13" s="82">
        <f t="shared" si="2"/>
        <v>-1910000</v>
      </c>
      <c r="K13" s="82">
        <f t="shared" si="2"/>
        <v>-2004000</v>
      </c>
      <c r="L13" s="82">
        <f t="shared" si="2"/>
        <v>-1576274.31</v>
      </c>
      <c r="M13" s="82">
        <f t="shared" si="2"/>
        <v>0</v>
      </c>
      <c r="N13" s="82">
        <f t="shared" si="2"/>
        <v>-239725.68999999994</v>
      </c>
      <c r="O13" s="76"/>
      <c r="P13" s="76"/>
    </row>
    <row r="14" spans="1:16" ht="13.5" thickTop="1" x14ac:dyDescent="0.3">
      <c r="A14" s="60"/>
      <c r="B14" s="61"/>
      <c r="C14" s="101"/>
      <c r="D14" s="101"/>
      <c r="E14" s="53">
        <f t="shared" si="0"/>
        <v>0</v>
      </c>
      <c r="F14" s="62"/>
      <c r="G14" s="62"/>
      <c r="H14" s="172"/>
      <c r="I14" s="62"/>
      <c r="J14" s="101"/>
      <c r="K14" s="101"/>
      <c r="L14" s="53"/>
      <c r="M14" s="53"/>
      <c r="N14" s="53"/>
    </row>
    <row r="15" spans="1:16" x14ac:dyDescent="0.3">
      <c r="A15" s="50" t="s">
        <v>76</v>
      </c>
      <c r="B15" s="50"/>
      <c r="C15" s="50"/>
      <c r="D15" s="50"/>
      <c r="E15" s="53">
        <f t="shared" si="0"/>
        <v>0</v>
      </c>
      <c r="F15" s="53"/>
      <c r="G15" s="53"/>
      <c r="H15" s="170"/>
      <c r="I15" s="53"/>
      <c r="J15" s="50"/>
      <c r="K15" s="50"/>
      <c r="L15" s="53"/>
      <c r="M15" s="53"/>
      <c r="N15" s="53"/>
    </row>
    <row r="16" spans="1:16" x14ac:dyDescent="0.3">
      <c r="A16" s="51" t="s">
        <v>460</v>
      </c>
      <c r="B16" s="52"/>
      <c r="C16" s="53"/>
      <c r="D16" s="53"/>
      <c r="E16" s="53">
        <f t="shared" si="0"/>
        <v>0</v>
      </c>
      <c r="F16" s="53"/>
      <c r="G16" s="53"/>
      <c r="H16" s="170"/>
      <c r="I16" s="53"/>
      <c r="J16" s="53"/>
      <c r="K16" s="53"/>
      <c r="L16" s="53"/>
      <c r="M16" s="53"/>
      <c r="N16" s="53"/>
    </row>
    <row r="17" spans="1:16" x14ac:dyDescent="0.3">
      <c r="A17" s="51"/>
      <c r="B17" s="52"/>
      <c r="C17" s="53"/>
      <c r="D17" s="53"/>
      <c r="E17" s="53">
        <f t="shared" si="0"/>
        <v>0</v>
      </c>
      <c r="F17" s="53"/>
      <c r="G17" s="53"/>
      <c r="H17" s="170"/>
      <c r="I17" s="53"/>
      <c r="J17" s="53"/>
      <c r="K17" s="53"/>
      <c r="L17" s="53"/>
      <c r="M17" s="53"/>
      <c r="N17" s="53"/>
    </row>
    <row r="18" spans="1:16" x14ac:dyDescent="0.3">
      <c r="A18" s="51"/>
      <c r="B18" s="51" t="s">
        <v>467</v>
      </c>
      <c r="C18" s="53"/>
      <c r="D18" s="53"/>
      <c r="E18" s="53">
        <f t="shared" si="0"/>
        <v>0</v>
      </c>
      <c r="F18" s="53"/>
      <c r="G18" s="53"/>
      <c r="H18" s="170"/>
      <c r="I18" s="53"/>
      <c r="J18" s="53"/>
      <c r="K18" s="53"/>
      <c r="L18" s="53"/>
      <c r="M18" s="53"/>
      <c r="N18" s="53"/>
    </row>
    <row r="19" spans="1:16" x14ac:dyDescent="0.3">
      <c r="A19" s="52" t="s">
        <v>1165</v>
      </c>
      <c r="B19" s="52" t="s">
        <v>149</v>
      </c>
      <c r="C19" s="53">
        <v>10000</v>
      </c>
      <c r="D19" s="53"/>
      <c r="E19" s="53">
        <f t="shared" si="0"/>
        <v>10000</v>
      </c>
      <c r="F19" s="53"/>
      <c r="G19" s="53">
        <f>E19+F19</f>
        <v>10000</v>
      </c>
      <c r="H19" s="170">
        <v>-10000</v>
      </c>
      <c r="I19" s="69">
        <f>G19+H19</f>
        <v>0</v>
      </c>
      <c r="J19" s="53">
        <f>C19*104.6%</f>
        <v>10460</v>
      </c>
      <c r="K19" s="53">
        <f>J19*104.6%</f>
        <v>10941.16</v>
      </c>
      <c r="L19" s="53"/>
      <c r="M19" s="53"/>
      <c r="N19" s="53">
        <f t="shared" ref="N19:N21" si="3">I19-L19-M19</f>
        <v>0</v>
      </c>
    </row>
    <row r="20" spans="1:16" x14ac:dyDescent="0.3">
      <c r="A20" s="56" t="s">
        <v>1162</v>
      </c>
      <c r="B20" s="56" t="s">
        <v>1071</v>
      </c>
      <c r="C20" s="69">
        <v>100000</v>
      </c>
      <c r="D20" s="69"/>
      <c r="E20" s="53">
        <f t="shared" si="0"/>
        <v>100000</v>
      </c>
      <c r="F20" s="53"/>
      <c r="G20" s="53">
        <f>E20+F20</f>
        <v>100000</v>
      </c>
      <c r="H20" s="170"/>
      <c r="I20" s="69">
        <f>G20+H20</f>
        <v>100000</v>
      </c>
      <c r="J20" s="53">
        <f>C20*104.6%</f>
        <v>104600</v>
      </c>
      <c r="K20" s="53">
        <f>J20*104.6%</f>
        <v>109411.6</v>
      </c>
      <c r="L20" s="53"/>
      <c r="M20" s="53"/>
      <c r="N20" s="53">
        <f t="shared" si="3"/>
        <v>100000</v>
      </c>
    </row>
    <row r="21" spans="1:16" ht="13.5" thickBot="1" x14ac:dyDescent="0.35">
      <c r="A21" s="56" t="s">
        <v>606</v>
      </c>
      <c r="B21" s="56" t="s">
        <v>183</v>
      </c>
      <c r="C21" s="69">
        <v>17106.36</v>
      </c>
      <c r="D21" s="69"/>
      <c r="E21" s="53">
        <f t="shared" si="0"/>
        <v>17106.36</v>
      </c>
      <c r="F21" s="69"/>
      <c r="G21" s="53">
        <f>E21+F21</f>
        <v>17106.36</v>
      </c>
      <c r="H21" s="173"/>
      <c r="I21" s="69">
        <f>G21+H21</f>
        <v>17106.36</v>
      </c>
      <c r="J21" s="69">
        <f>C21*105.4%</f>
        <v>18030.103440000003</v>
      </c>
      <c r="K21" s="69">
        <f t="shared" ref="K21" si="4">J21*105.4%</f>
        <v>19003.729025760003</v>
      </c>
      <c r="L21" s="53">
        <v>9977.3700000000008</v>
      </c>
      <c r="M21" s="53"/>
      <c r="N21" s="53">
        <f t="shared" si="3"/>
        <v>7128.99</v>
      </c>
    </row>
    <row r="22" spans="1:16" s="77" customFormat="1" ht="13.5" thickBot="1" x14ac:dyDescent="0.35">
      <c r="A22" s="57" t="s">
        <v>678</v>
      </c>
      <c r="B22" s="57"/>
      <c r="C22" s="59">
        <f>SUM(C19:C21)</f>
        <v>127106.36</v>
      </c>
      <c r="D22" s="59">
        <f t="shared" ref="D22:N22" si="5">SUM(D19:D21)</f>
        <v>0</v>
      </c>
      <c r="E22" s="59">
        <f t="shared" si="5"/>
        <v>127106.36</v>
      </c>
      <c r="F22" s="59">
        <f t="shared" si="5"/>
        <v>0</v>
      </c>
      <c r="G22" s="59">
        <f t="shared" si="5"/>
        <v>127106.36</v>
      </c>
      <c r="H22" s="171">
        <f t="shared" si="5"/>
        <v>-10000</v>
      </c>
      <c r="I22" s="59">
        <f t="shared" si="5"/>
        <v>117106.36</v>
      </c>
      <c r="J22" s="59">
        <f t="shared" si="5"/>
        <v>133090.10344000001</v>
      </c>
      <c r="K22" s="59">
        <f t="shared" si="5"/>
        <v>139356.48902576001</v>
      </c>
      <c r="L22" s="59">
        <f t="shared" si="5"/>
        <v>9977.3700000000008</v>
      </c>
      <c r="M22" s="59">
        <f t="shared" si="5"/>
        <v>0</v>
      </c>
      <c r="N22" s="59">
        <f t="shared" si="5"/>
        <v>107128.99</v>
      </c>
      <c r="O22" s="76"/>
      <c r="P22" s="76"/>
    </row>
    <row r="23" spans="1:16" ht="13.5" thickTop="1" x14ac:dyDescent="0.3">
      <c r="A23" s="60"/>
      <c r="B23" s="61"/>
      <c r="C23" s="62"/>
      <c r="D23" s="62"/>
      <c r="E23" s="53">
        <f t="shared" si="0"/>
        <v>0</v>
      </c>
      <c r="F23" s="62"/>
      <c r="G23" s="62"/>
      <c r="H23" s="172"/>
      <c r="I23" s="62"/>
      <c r="J23" s="62">
        <f>C23*105.4%</f>
        <v>0</v>
      </c>
      <c r="K23" s="62">
        <f t="shared" ref="K23" si="6">J23*105.4%</f>
        <v>0</v>
      </c>
      <c r="L23" s="53"/>
      <c r="M23" s="53"/>
      <c r="N23" s="53"/>
    </row>
    <row r="24" spans="1:16" x14ac:dyDescent="0.3">
      <c r="A24" s="51" t="s">
        <v>79</v>
      </c>
      <c r="B24" s="52"/>
      <c r="C24" s="53"/>
      <c r="D24" s="53"/>
      <c r="E24" s="53">
        <f t="shared" si="0"/>
        <v>0</v>
      </c>
      <c r="F24" s="53"/>
      <c r="G24" s="53"/>
      <c r="H24" s="170"/>
      <c r="I24" s="53"/>
      <c r="J24" s="53">
        <f>C24*105.4%</f>
        <v>0</v>
      </c>
      <c r="K24" s="53">
        <f t="shared" ref="K24" si="7">J24*105.4%</f>
        <v>0</v>
      </c>
      <c r="L24" s="53"/>
      <c r="M24" s="53"/>
      <c r="N24" s="53"/>
    </row>
    <row r="25" spans="1:16" x14ac:dyDescent="0.3">
      <c r="A25" s="52" t="s">
        <v>613</v>
      </c>
      <c r="B25" s="52" t="s">
        <v>171</v>
      </c>
      <c r="C25" s="53">
        <v>782.88000000000011</v>
      </c>
      <c r="D25" s="53"/>
      <c r="E25" s="53">
        <f t="shared" si="0"/>
        <v>782.88000000000011</v>
      </c>
      <c r="F25" s="53"/>
      <c r="G25" s="53">
        <f t="shared" ref="G25:G34" si="8">E25+F25</f>
        <v>782.88000000000011</v>
      </c>
      <c r="H25" s="170">
        <v>7.1187498979270458E-3</v>
      </c>
      <c r="I25" s="69">
        <f t="shared" ref="I25:I34" si="9">G25+H25</f>
        <v>782.88711874989804</v>
      </c>
      <c r="J25" s="53">
        <f t="shared" ref="J25:J33" si="10">C25*104.6%</f>
        <v>818.89248000000009</v>
      </c>
      <c r="K25" s="53">
        <f t="shared" ref="K25" si="11">J25*104.6%</f>
        <v>856.56153408000011</v>
      </c>
      <c r="L25" s="53">
        <v>554.4</v>
      </c>
      <c r="M25" s="53"/>
      <c r="N25" s="53">
        <f t="shared" ref="N25:N34" si="12">I25-L25-M25</f>
        <v>228.48711874989806</v>
      </c>
    </row>
    <row r="26" spans="1:16" s="77" customFormat="1" x14ac:dyDescent="0.3">
      <c r="A26" s="51" t="s">
        <v>612</v>
      </c>
      <c r="B26" s="51" t="s">
        <v>190</v>
      </c>
      <c r="C26" s="67"/>
      <c r="D26" s="67"/>
      <c r="E26" s="67">
        <f t="shared" si="0"/>
        <v>0</v>
      </c>
      <c r="F26" s="67"/>
      <c r="G26" s="67">
        <f t="shared" si="8"/>
        <v>0</v>
      </c>
      <c r="H26" s="233">
        <v>113177.43</v>
      </c>
      <c r="I26" s="83">
        <f t="shared" si="9"/>
        <v>113177.43</v>
      </c>
      <c r="J26" s="67">
        <f t="shared" si="10"/>
        <v>0</v>
      </c>
      <c r="K26" s="67">
        <f t="shared" ref="K26" si="13">J26*104.6%</f>
        <v>0</v>
      </c>
      <c r="L26" s="67">
        <v>113177.43</v>
      </c>
      <c r="M26" s="67"/>
      <c r="N26" s="67">
        <f t="shared" si="12"/>
        <v>0</v>
      </c>
      <c r="O26" s="76"/>
      <c r="P26" s="76"/>
    </row>
    <row r="27" spans="1:16" x14ac:dyDescent="0.3">
      <c r="A27" s="52" t="s">
        <v>614</v>
      </c>
      <c r="B27" s="52" t="s">
        <v>180</v>
      </c>
      <c r="C27" s="53">
        <v>12492.479999999998</v>
      </c>
      <c r="D27" s="53"/>
      <c r="E27" s="53">
        <f t="shared" si="0"/>
        <v>12492.479999999998</v>
      </c>
      <c r="F27" s="53"/>
      <c r="G27" s="53">
        <f t="shared" si="8"/>
        <v>12492.479999999998</v>
      </c>
      <c r="H27" s="170">
        <v>0</v>
      </c>
      <c r="I27" s="69">
        <f t="shared" si="9"/>
        <v>12492.479999999998</v>
      </c>
      <c r="J27" s="53">
        <f t="shared" si="10"/>
        <v>13067.134079999998</v>
      </c>
      <c r="K27" s="53">
        <f t="shared" ref="K27" si="14">J27*104.6%</f>
        <v>13668.222247679998</v>
      </c>
      <c r="L27" s="53">
        <v>6938.18</v>
      </c>
      <c r="M27" s="53"/>
      <c r="N27" s="53">
        <f t="shared" si="12"/>
        <v>5554.2999999999975</v>
      </c>
    </row>
    <row r="28" spans="1:16" x14ac:dyDescent="0.3">
      <c r="A28" s="52" t="s">
        <v>654</v>
      </c>
      <c r="B28" s="52" t="s">
        <v>169</v>
      </c>
      <c r="C28" s="53">
        <v>107559.97749999999</v>
      </c>
      <c r="D28" s="53"/>
      <c r="E28" s="53">
        <f t="shared" si="0"/>
        <v>107559.97749999999</v>
      </c>
      <c r="F28" s="53"/>
      <c r="G28" s="53">
        <f t="shared" si="8"/>
        <v>107559.97749999999</v>
      </c>
      <c r="H28" s="170">
        <v>12658.222500000018</v>
      </c>
      <c r="I28" s="69">
        <f t="shared" si="9"/>
        <v>120218.20000000001</v>
      </c>
      <c r="J28" s="53">
        <f t="shared" si="10"/>
        <v>112507.73646499999</v>
      </c>
      <c r="K28" s="53">
        <f t="shared" ref="K28" si="15">J28*104.6%</f>
        <v>117683.09234238999</v>
      </c>
      <c r="L28" s="53">
        <v>120218.20000000001</v>
      </c>
      <c r="M28" s="53"/>
      <c r="N28" s="53">
        <f t="shared" si="12"/>
        <v>0</v>
      </c>
    </row>
    <row r="29" spans="1:16" x14ac:dyDescent="0.3">
      <c r="A29" s="52" t="s">
        <v>186</v>
      </c>
      <c r="B29" s="52" t="s">
        <v>187</v>
      </c>
      <c r="C29" s="53"/>
      <c r="D29" s="53"/>
      <c r="E29" s="53">
        <f t="shared" si="0"/>
        <v>0</v>
      </c>
      <c r="F29" s="53"/>
      <c r="G29" s="53">
        <f t="shared" si="8"/>
        <v>0</v>
      </c>
      <c r="H29" s="170">
        <v>0</v>
      </c>
      <c r="I29" s="69">
        <f t="shared" si="9"/>
        <v>0</v>
      </c>
      <c r="J29" s="53">
        <f t="shared" si="10"/>
        <v>0</v>
      </c>
      <c r="K29" s="53">
        <f t="shared" ref="K29" si="16">J29*104.6%</f>
        <v>0</v>
      </c>
      <c r="L29" s="53">
        <v>0</v>
      </c>
      <c r="M29" s="53"/>
      <c r="N29" s="53">
        <f t="shared" si="12"/>
        <v>0</v>
      </c>
    </row>
    <row r="30" spans="1:16" x14ac:dyDescent="0.3">
      <c r="A30" s="52" t="s">
        <v>653</v>
      </c>
      <c r="B30" s="52" t="s">
        <v>174</v>
      </c>
      <c r="C30" s="53">
        <v>155880</v>
      </c>
      <c r="D30" s="53"/>
      <c r="E30" s="53">
        <f t="shared" si="0"/>
        <v>155880</v>
      </c>
      <c r="F30" s="53"/>
      <c r="G30" s="53">
        <f t="shared" si="8"/>
        <v>155880</v>
      </c>
      <c r="H30" s="170">
        <v>44172</v>
      </c>
      <c r="I30" s="69">
        <f t="shared" si="9"/>
        <v>200052</v>
      </c>
      <c r="J30" s="53">
        <f t="shared" si="10"/>
        <v>163050.48000000001</v>
      </c>
      <c r="K30" s="53">
        <f t="shared" ref="K30" si="17">J30*104.6%</f>
        <v>170550.80208000002</v>
      </c>
      <c r="L30" s="53">
        <v>104092.8</v>
      </c>
      <c r="M30" s="53"/>
      <c r="N30" s="53">
        <f t="shared" si="12"/>
        <v>95959.2</v>
      </c>
    </row>
    <row r="31" spans="1:16" s="77" customFormat="1" x14ac:dyDescent="0.3">
      <c r="A31" s="51" t="s">
        <v>615</v>
      </c>
      <c r="B31" s="51" t="s">
        <v>193</v>
      </c>
      <c r="C31" s="67"/>
      <c r="D31" s="67"/>
      <c r="E31" s="67">
        <f t="shared" si="0"/>
        <v>0</v>
      </c>
      <c r="F31" s="67"/>
      <c r="G31" s="67">
        <f t="shared" si="8"/>
        <v>0</v>
      </c>
      <c r="H31" s="233">
        <v>20000</v>
      </c>
      <c r="I31" s="83">
        <f t="shared" si="9"/>
        <v>20000</v>
      </c>
      <c r="J31" s="67">
        <f t="shared" si="10"/>
        <v>0</v>
      </c>
      <c r="K31" s="67">
        <f t="shared" ref="K31" si="18">J31*104.6%</f>
        <v>0</v>
      </c>
      <c r="L31" s="67">
        <v>9345.76</v>
      </c>
      <c r="M31" s="67"/>
      <c r="N31" s="67">
        <f t="shared" si="12"/>
        <v>10654.24</v>
      </c>
      <c r="O31" s="76"/>
      <c r="P31" s="76"/>
    </row>
    <row r="32" spans="1:16" x14ac:dyDescent="0.3">
      <c r="A32" s="52" t="s">
        <v>655</v>
      </c>
      <c r="B32" s="52" t="s">
        <v>177</v>
      </c>
      <c r="C32" s="53">
        <v>268011.21772499999</v>
      </c>
      <c r="D32" s="53"/>
      <c r="E32" s="53">
        <f t="shared" si="0"/>
        <v>268011.21772499999</v>
      </c>
      <c r="F32" s="53"/>
      <c r="G32" s="53">
        <f t="shared" si="8"/>
        <v>268011.21772499999</v>
      </c>
      <c r="H32" s="170">
        <v>99306.695156250033</v>
      </c>
      <c r="I32" s="69">
        <f t="shared" si="9"/>
        <v>367317.91288125003</v>
      </c>
      <c r="J32" s="53">
        <f t="shared" si="10"/>
        <v>280339.73374035</v>
      </c>
      <c r="K32" s="53">
        <f t="shared" ref="K32" si="19">J32*104.6%</f>
        <v>293235.36149240611</v>
      </c>
      <c r="L32" s="53">
        <v>195011.16999999998</v>
      </c>
      <c r="M32" s="53"/>
      <c r="N32" s="53">
        <f t="shared" si="12"/>
        <v>172306.74288125004</v>
      </c>
    </row>
    <row r="33" spans="1:14" x14ac:dyDescent="0.3">
      <c r="A33" s="52" t="s">
        <v>656</v>
      </c>
      <c r="B33" s="52" t="s">
        <v>166</v>
      </c>
      <c r="C33" s="53">
        <v>1255167.0847749996</v>
      </c>
      <c r="D33" s="53">
        <v>-1000</v>
      </c>
      <c r="E33" s="53">
        <f t="shared" si="0"/>
        <v>1254167.0847749996</v>
      </c>
      <c r="F33" s="53"/>
      <c r="G33" s="53">
        <f t="shared" si="8"/>
        <v>1254167.0847749996</v>
      </c>
      <c r="H33" s="170">
        <v>-289314.35477499967</v>
      </c>
      <c r="I33" s="69">
        <f t="shared" si="9"/>
        <v>964852.73</v>
      </c>
      <c r="J33" s="53">
        <f t="shared" si="10"/>
        <v>1312904.7706746496</v>
      </c>
      <c r="K33" s="53">
        <f t="shared" ref="K33" si="20">J33*104.6%</f>
        <v>1373298.3901256835</v>
      </c>
      <c r="L33" s="53">
        <v>1023747.1299999999</v>
      </c>
      <c r="M33" s="53"/>
      <c r="N33" s="53">
        <f t="shared" si="12"/>
        <v>-58894.399999999907</v>
      </c>
    </row>
    <row r="34" spans="1:14" ht="13.5" thickBot="1" x14ac:dyDescent="0.35">
      <c r="A34" s="56" t="s">
        <v>1164</v>
      </c>
      <c r="B34" s="52" t="s">
        <v>1163</v>
      </c>
      <c r="C34" s="69">
        <v>483927.56022500026</v>
      </c>
      <c r="D34" s="69">
        <v>1000</v>
      </c>
      <c r="E34" s="53">
        <f t="shared" si="0"/>
        <v>484927.56022500026</v>
      </c>
      <c r="F34" s="69"/>
      <c r="G34" s="53">
        <f t="shared" si="8"/>
        <v>484927.56022500026</v>
      </c>
      <c r="H34" s="170">
        <v>300367.5197749997</v>
      </c>
      <c r="I34" s="69">
        <f t="shared" si="9"/>
        <v>785295.08</v>
      </c>
      <c r="J34" s="69">
        <f>C34*105.4%</f>
        <v>510059.6484771503</v>
      </c>
      <c r="K34" s="69">
        <f t="shared" ref="K34" si="21">J34*105.4%</f>
        <v>537602.86949491641</v>
      </c>
      <c r="L34" s="53">
        <v>0</v>
      </c>
      <c r="M34" s="53"/>
      <c r="N34" s="53">
        <f t="shared" si="12"/>
        <v>785295.08</v>
      </c>
    </row>
    <row r="35" spans="1:14" ht="13.5" thickBot="1" x14ac:dyDescent="0.35">
      <c r="A35" s="57" t="s">
        <v>259</v>
      </c>
      <c r="B35" s="57"/>
      <c r="C35" s="59">
        <f>SUM(C25:C34)</f>
        <v>2283821.2002249998</v>
      </c>
      <c r="D35" s="59">
        <f t="shared" ref="D35:N35" si="22">SUM(D25:D34)</f>
        <v>0</v>
      </c>
      <c r="E35" s="59">
        <f t="shared" si="22"/>
        <v>2283821.2002249998</v>
      </c>
      <c r="F35" s="59">
        <f t="shared" si="22"/>
        <v>0</v>
      </c>
      <c r="G35" s="59">
        <f t="shared" si="22"/>
        <v>2283821.2002249998</v>
      </c>
      <c r="H35" s="171">
        <f t="shared" si="22"/>
        <v>300367.51977499999</v>
      </c>
      <c r="I35" s="59">
        <f t="shared" si="22"/>
        <v>2584188.7199999997</v>
      </c>
      <c r="J35" s="59">
        <f t="shared" si="22"/>
        <v>2392748.3959171497</v>
      </c>
      <c r="K35" s="59">
        <f t="shared" si="22"/>
        <v>2506895.299317156</v>
      </c>
      <c r="L35" s="59">
        <f t="shared" si="22"/>
        <v>1573085.0699999998</v>
      </c>
      <c r="M35" s="59">
        <f t="shared" si="22"/>
        <v>0</v>
      </c>
      <c r="N35" s="59">
        <f t="shared" si="22"/>
        <v>1011103.65</v>
      </c>
    </row>
    <row r="36" spans="1:14" ht="14" thickTop="1" thickBot="1" x14ac:dyDescent="0.35">
      <c r="A36" s="74"/>
      <c r="B36" s="73"/>
      <c r="C36" s="79"/>
      <c r="D36" s="79"/>
      <c r="E36" s="53">
        <f t="shared" si="0"/>
        <v>0</v>
      </c>
      <c r="F36" s="79"/>
      <c r="G36" s="79"/>
      <c r="H36" s="174"/>
      <c r="I36" s="79"/>
      <c r="J36" s="79">
        <f>C36*105.4%</f>
        <v>0</v>
      </c>
      <c r="K36" s="79">
        <f t="shared" ref="K36" si="23">J36*105.4%</f>
        <v>0</v>
      </c>
      <c r="L36" s="53"/>
      <c r="M36" s="53"/>
      <c r="N36" s="53"/>
    </row>
    <row r="37" spans="1:14" ht="13.5" thickBot="1" x14ac:dyDescent="0.35">
      <c r="A37" s="70" t="s">
        <v>687</v>
      </c>
      <c r="B37" s="70"/>
      <c r="C37" s="72">
        <f>C35+C22</f>
        <v>2410927.5602249997</v>
      </c>
      <c r="D37" s="72">
        <f t="shared" ref="D37:N37" si="24">D35+D22</f>
        <v>0</v>
      </c>
      <c r="E37" s="72">
        <f t="shared" si="24"/>
        <v>2410927.5602249997</v>
      </c>
      <c r="F37" s="72">
        <f t="shared" si="24"/>
        <v>0</v>
      </c>
      <c r="G37" s="72">
        <f t="shared" si="24"/>
        <v>2410927.5602249997</v>
      </c>
      <c r="H37" s="177">
        <f t="shared" si="24"/>
        <v>290367.51977499999</v>
      </c>
      <c r="I37" s="72">
        <f t="shared" si="24"/>
        <v>2701295.0799999996</v>
      </c>
      <c r="J37" s="72">
        <f t="shared" si="24"/>
        <v>2525838.4993571499</v>
      </c>
      <c r="K37" s="72">
        <f t="shared" si="24"/>
        <v>2646251.7883429159</v>
      </c>
      <c r="L37" s="72">
        <f t="shared" si="24"/>
        <v>1583062.44</v>
      </c>
      <c r="M37" s="72">
        <f t="shared" si="24"/>
        <v>0</v>
      </c>
      <c r="N37" s="72">
        <f t="shared" si="24"/>
        <v>1118232.6400000001</v>
      </c>
    </row>
    <row r="38" spans="1:14" ht="13.5" thickTop="1" x14ac:dyDescent="0.3">
      <c r="A38" s="60"/>
      <c r="B38" s="61"/>
      <c r="C38" s="62"/>
      <c r="D38" s="62"/>
      <c r="E38" s="53">
        <f t="shared" si="0"/>
        <v>0</v>
      </c>
      <c r="F38" s="62"/>
      <c r="G38" s="62"/>
      <c r="H38" s="172"/>
      <c r="I38" s="62"/>
      <c r="J38" s="62">
        <f>C38*105.4%</f>
        <v>0</v>
      </c>
      <c r="K38" s="62">
        <f t="shared" ref="K38" si="25">J38*105.4%</f>
        <v>0</v>
      </c>
      <c r="L38" s="53"/>
      <c r="M38" s="53"/>
      <c r="N38" s="53"/>
    </row>
    <row r="39" spans="1:14" x14ac:dyDescent="0.3">
      <c r="A39" s="50" t="s">
        <v>688</v>
      </c>
      <c r="B39" s="50"/>
      <c r="C39" s="50"/>
      <c r="D39" s="50"/>
      <c r="E39" s="53">
        <f t="shared" si="0"/>
        <v>0</v>
      </c>
      <c r="F39" s="53"/>
      <c r="G39" s="53"/>
      <c r="H39" s="170"/>
      <c r="I39" s="53"/>
      <c r="J39" s="50"/>
      <c r="K39" s="50"/>
      <c r="L39" s="53"/>
      <c r="M39" s="53"/>
      <c r="N39" s="53"/>
    </row>
    <row r="40" spans="1:14" x14ac:dyDescent="0.3">
      <c r="A40" s="51"/>
      <c r="B40" s="52"/>
      <c r="C40" s="53"/>
      <c r="D40" s="53"/>
      <c r="E40" s="53">
        <f t="shared" si="0"/>
        <v>0</v>
      </c>
      <c r="F40" s="53"/>
      <c r="G40" s="53"/>
      <c r="H40" s="170"/>
      <c r="I40" s="53"/>
      <c r="J40" s="53">
        <f>C40*105.4%</f>
        <v>0</v>
      </c>
      <c r="K40" s="53">
        <f t="shared" ref="K40" si="26">J40*105.4%</f>
        <v>0</v>
      </c>
      <c r="L40" s="53"/>
      <c r="M40" s="53"/>
      <c r="N40" s="53"/>
    </row>
    <row r="41" spans="1:14" x14ac:dyDescent="0.3">
      <c r="A41" s="51" t="s">
        <v>460</v>
      </c>
      <c r="B41" s="52"/>
      <c r="C41" s="53"/>
      <c r="D41" s="53"/>
      <c r="E41" s="53">
        <f t="shared" si="0"/>
        <v>0</v>
      </c>
      <c r="F41" s="53"/>
      <c r="G41" s="53"/>
      <c r="H41" s="170"/>
      <c r="I41" s="53"/>
      <c r="J41" s="53"/>
      <c r="K41" s="53"/>
      <c r="L41" s="53"/>
      <c r="M41" s="53"/>
      <c r="N41" s="53"/>
    </row>
    <row r="42" spans="1:14" x14ac:dyDescent="0.3">
      <c r="A42" s="52"/>
      <c r="B42" s="51" t="s">
        <v>488</v>
      </c>
      <c r="C42" s="53">
        <v>0</v>
      </c>
      <c r="D42" s="53"/>
      <c r="E42" s="53">
        <f t="shared" si="0"/>
        <v>0</v>
      </c>
      <c r="F42" s="53"/>
      <c r="G42" s="53"/>
      <c r="H42" s="170"/>
      <c r="I42" s="53"/>
      <c r="J42" s="53">
        <f>C42*105.4%</f>
        <v>0</v>
      </c>
      <c r="K42" s="53"/>
      <c r="L42" s="53"/>
      <c r="M42" s="53"/>
      <c r="N42" s="53"/>
    </row>
    <row r="43" spans="1:14" x14ac:dyDescent="0.3">
      <c r="A43" s="52" t="s">
        <v>1070</v>
      </c>
      <c r="B43" s="52" t="s">
        <v>1067</v>
      </c>
      <c r="C43" s="53">
        <v>150000</v>
      </c>
      <c r="D43" s="53"/>
      <c r="E43" s="53">
        <f t="shared" si="0"/>
        <v>150000</v>
      </c>
      <c r="F43" s="53"/>
      <c r="G43" s="53">
        <f t="shared" ref="G43:G74" si="27">E43+F43</f>
        <v>150000</v>
      </c>
      <c r="H43" s="170">
        <v>-125500</v>
      </c>
      <c r="I43" s="69">
        <f t="shared" ref="I43:I74" si="28">G43+H43</f>
        <v>24500</v>
      </c>
      <c r="J43" s="53">
        <f t="shared" ref="J43:J59" si="29">C43*104.6%</f>
        <v>156900</v>
      </c>
      <c r="K43" s="53">
        <f t="shared" ref="K43" si="30">J43*104.6%</f>
        <v>164117.4</v>
      </c>
      <c r="L43" s="53">
        <v>24500</v>
      </c>
      <c r="M43" s="53"/>
      <c r="N43" s="53">
        <f t="shared" ref="N43:N106" si="31">I43-L43-M43</f>
        <v>0</v>
      </c>
    </row>
    <row r="44" spans="1:14" x14ac:dyDescent="0.3">
      <c r="A44" s="52" t="s">
        <v>1076</v>
      </c>
      <c r="B44" s="52" t="s">
        <v>1068</v>
      </c>
      <c r="C44" s="53">
        <v>50000</v>
      </c>
      <c r="D44" s="53"/>
      <c r="E44" s="53">
        <f t="shared" si="0"/>
        <v>50000</v>
      </c>
      <c r="F44" s="53"/>
      <c r="G44" s="53">
        <f t="shared" si="27"/>
        <v>50000</v>
      </c>
      <c r="H44" s="170">
        <f>(50000+100000)-144442</f>
        <v>5558</v>
      </c>
      <c r="I44" s="69">
        <f t="shared" si="28"/>
        <v>55558</v>
      </c>
      <c r="J44" s="53">
        <f t="shared" si="29"/>
        <v>52300</v>
      </c>
      <c r="K44" s="53">
        <f t="shared" ref="K44" si="32">J44*104.6%</f>
        <v>54705.8</v>
      </c>
      <c r="L44" s="53">
        <v>55558</v>
      </c>
      <c r="M44" s="53"/>
      <c r="N44" s="53">
        <f t="shared" si="31"/>
        <v>0</v>
      </c>
    </row>
    <row r="45" spans="1:14" x14ac:dyDescent="0.3">
      <c r="A45" s="52" t="s">
        <v>1074</v>
      </c>
      <c r="B45" s="52" t="s">
        <v>1075</v>
      </c>
      <c r="C45" s="53">
        <v>50000</v>
      </c>
      <c r="D45" s="53"/>
      <c r="E45" s="53">
        <f t="shared" si="0"/>
        <v>50000</v>
      </c>
      <c r="F45" s="53"/>
      <c r="G45" s="53">
        <f t="shared" si="27"/>
        <v>50000</v>
      </c>
      <c r="H45" s="170">
        <v>-24380</v>
      </c>
      <c r="I45" s="69">
        <f t="shared" si="28"/>
        <v>25620</v>
      </c>
      <c r="J45" s="53">
        <f t="shared" si="29"/>
        <v>52300</v>
      </c>
      <c r="K45" s="53">
        <f t="shared" ref="K45" si="33">J45*104.6%</f>
        <v>54705.8</v>
      </c>
      <c r="L45" s="191">
        <v>25620</v>
      </c>
      <c r="M45" s="191"/>
      <c r="N45" s="53">
        <f t="shared" si="31"/>
        <v>0</v>
      </c>
    </row>
    <row r="46" spans="1:14" x14ac:dyDescent="0.3">
      <c r="A46" s="52" t="s">
        <v>1077</v>
      </c>
      <c r="B46" s="52" t="s">
        <v>1069</v>
      </c>
      <c r="C46" s="53">
        <v>90000</v>
      </c>
      <c r="D46" s="53"/>
      <c r="E46" s="53">
        <f t="shared" si="0"/>
        <v>90000</v>
      </c>
      <c r="F46" s="53"/>
      <c r="G46" s="53">
        <f t="shared" si="27"/>
        <v>90000</v>
      </c>
      <c r="H46" s="170">
        <v>-83500</v>
      </c>
      <c r="I46" s="69">
        <f t="shared" si="28"/>
        <v>6500</v>
      </c>
      <c r="J46" s="53">
        <f t="shared" si="29"/>
        <v>94140</v>
      </c>
      <c r="K46" s="53">
        <f t="shared" ref="K46" si="34">J46*104.6%</f>
        <v>98470.44</v>
      </c>
      <c r="L46" s="53">
        <v>6500</v>
      </c>
      <c r="M46" s="53"/>
      <c r="N46" s="53">
        <f t="shared" si="31"/>
        <v>0</v>
      </c>
    </row>
    <row r="47" spans="1:14" x14ac:dyDescent="0.3">
      <c r="A47" s="52" t="s">
        <v>1072</v>
      </c>
      <c r="B47" s="52" t="s">
        <v>1073</v>
      </c>
      <c r="C47" s="53">
        <v>120000</v>
      </c>
      <c r="D47" s="53"/>
      <c r="E47" s="53">
        <f t="shared" si="0"/>
        <v>120000</v>
      </c>
      <c r="F47" s="53"/>
      <c r="G47" s="53">
        <f t="shared" si="27"/>
        <v>120000</v>
      </c>
      <c r="H47" s="170">
        <f>(-20000-30000)-51000</f>
        <v>-101000</v>
      </c>
      <c r="I47" s="69">
        <f t="shared" si="28"/>
        <v>19000</v>
      </c>
      <c r="J47" s="53">
        <f t="shared" si="29"/>
        <v>125520</v>
      </c>
      <c r="K47" s="53">
        <f t="shared" ref="K47" si="35">J47*104.6%</f>
        <v>131293.92000000001</v>
      </c>
      <c r="L47" s="53">
        <v>19000</v>
      </c>
      <c r="M47" s="53"/>
      <c r="N47" s="53">
        <f t="shared" si="31"/>
        <v>0</v>
      </c>
    </row>
    <row r="48" spans="1:14" x14ac:dyDescent="0.3">
      <c r="A48" s="52"/>
      <c r="B48" s="51" t="s">
        <v>706</v>
      </c>
      <c r="C48" s="53">
        <v>0</v>
      </c>
      <c r="D48" s="53"/>
      <c r="E48" s="53">
        <f t="shared" si="0"/>
        <v>0</v>
      </c>
      <c r="F48" s="53"/>
      <c r="G48" s="53">
        <f t="shared" si="27"/>
        <v>0</v>
      </c>
      <c r="H48" s="170">
        <v>0</v>
      </c>
      <c r="I48" s="69">
        <f t="shared" si="28"/>
        <v>0</v>
      </c>
      <c r="J48" s="53">
        <f t="shared" si="29"/>
        <v>0</v>
      </c>
      <c r="K48" s="53">
        <f t="shared" ref="K48" si="36">J48*104.6%</f>
        <v>0</v>
      </c>
      <c r="L48" s="53"/>
      <c r="M48" s="53"/>
      <c r="N48" s="53">
        <f t="shared" si="31"/>
        <v>0</v>
      </c>
    </row>
    <row r="49" spans="1:14" x14ac:dyDescent="0.3">
      <c r="A49" s="52" t="s">
        <v>1083</v>
      </c>
      <c r="B49" s="52" t="s">
        <v>1078</v>
      </c>
      <c r="C49" s="53">
        <v>90000</v>
      </c>
      <c r="D49" s="53"/>
      <c r="E49" s="53">
        <f t="shared" si="0"/>
        <v>90000</v>
      </c>
      <c r="F49" s="53"/>
      <c r="G49" s="53">
        <f t="shared" si="27"/>
        <v>90000</v>
      </c>
      <c r="H49" s="170">
        <v>-37500</v>
      </c>
      <c r="I49" s="69">
        <f t="shared" si="28"/>
        <v>52500</v>
      </c>
      <c r="J49" s="53">
        <f t="shared" si="29"/>
        <v>94140</v>
      </c>
      <c r="K49" s="53">
        <f t="shared" ref="K49" si="37">J49*104.6%</f>
        <v>98470.44</v>
      </c>
      <c r="L49" s="53">
        <v>52500</v>
      </c>
      <c r="M49" s="53"/>
      <c r="N49" s="53">
        <f t="shared" si="31"/>
        <v>0</v>
      </c>
    </row>
    <row r="50" spans="1:14" x14ac:dyDescent="0.3">
      <c r="A50" s="52" t="s">
        <v>1079</v>
      </c>
      <c r="B50" s="52" t="s">
        <v>146</v>
      </c>
      <c r="C50" s="53">
        <v>90000</v>
      </c>
      <c r="D50" s="53"/>
      <c r="E50" s="53">
        <f t="shared" si="0"/>
        <v>90000</v>
      </c>
      <c r="F50" s="53"/>
      <c r="G50" s="53">
        <f t="shared" si="27"/>
        <v>90000</v>
      </c>
      <c r="H50" s="170">
        <v>-61950</v>
      </c>
      <c r="I50" s="69">
        <f t="shared" si="28"/>
        <v>28050</v>
      </c>
      <c r="J50" s="53">
        <f t="shared" si="29"/>
        <v>94140</v>
      </c>
      <c r="K50" s="53">
        <f t="shared" ref="K50" si="38">J50*104.6%</f>
        <v>98470.44</v>
      </c>
      <c r="L50" s="53">
        <v>28050</v>
      </c>
      <c r="M50" s="53"/>
      <c r="N50" s="53">
        <f t="shared" si="31"/>
        <v>0</v>
      </c>
    </row>
    <row r="51" spans="1:14" x14ac:dyDescent="0.3">
      <c r="A51" s="52" t="s">
        <v>1081</v>
      </c>
      <c r="B51" s="52" t="s">
        <v>147</v>
      </c>
      <c r="C51" s="53">
        <v>30000</v>
      </c>
      <c r="D51" s="53"/>
      <c r="E51" s="53">
        <f t="shared" si="0"/>
        <v>30000</v>
      </c>
      <c r="F51" s="53"/>
      <c r="G51" s="53">
        <f t="shared" si="27"/>
        <v>30000</v>
      </c>
      <c r="H51" s="170">
        <v>-30000</v>
      </c>
      <c r="I51" s="69">
        <f t="shared" si="28"/>
        <v>0</v>
      </c>
      <c r="J51" s="53">
        <f t="shared" si="29"/>
        <v>31380</v>
      </c>
      <c r="K51" s="53">
        <f t="shared" ref="K51" si="39">J51*104.6%</f>
        <v>32823.480000000003</v>
      </c>
      <c r="L51" s="53">
        <v>0</v>
      </c>
      <c r="M51" s="53"/>
      <c r="N51" s="53">
        <f t="shared" si="31"/>
        <v>0</v>
      </c>
    </row>
    <row r="52" spans="1:14" x14ac:dyDescent="0.3">
      <c r="A52" s="52" t="s">
        <v>1082</v>
      </c>
      <c r="B52" s="52" t="s">
        <v>145</v>
      </c>
      <c r="C52" s="53">
        <v>30000</v>
      </c>
      <c r="D52" s="53"/>
      <c r="E52" s="53">
        <f t="shared" si="0"/>
        <v>30000</v>
      </c>
      <c r="F52" s="53"/>
      <c r="G52" s="53">
        <f t="shared" si="27"/>
        <v>30000</v>
      </c>
      <c r="H52" s="170">
        <v>-5910</v>
      </c>
      <c r="I52" s="69">
        <f t="shared" si="28"/>
        <v>24090</v>
      </c>
      <c r="J52" s="53">
        <f t="shared" si="29"/>
        <v>31380</v>
      </c>
      <c r="K52" s="53">
        <f t="shared" ref="K52" si="40">J52*104.6%</f>
        <v>32823.480000000003</v>
      </c>
      <c r="L52" s="53">
        <v>24090</v>
      </c>
      <c r="M52" s="53"/>
      <c r="N52" s="53">
        <f t="shared" si="31"/>
        <v>0</v>
      </c>
    </row>
    <row r="53" spans="1:14" x14ac:dyDescent="0.3">
      <c r="A53" s="52" t="s">
        <v>1080</v>
      </c>
      <c r="B53" s="52" t="s">
        <v>148</v>
      </c>
      <c r="C53" s="53">
        <v>60000</v>
      </c>
      <c r="D53" s="53"/>
      <c r="E53" s="53">
        <f t="shared" si="0"/>
        <v>60000</v>
      </c>
      <c r="F53" s="53"/>
      <c r="G53" s="53">
        <f t="shared" si="27"/>
        <v>60000</v>
      </c>
      <c r="H53" s="170">
        <v>-38000</v>
      </c>
      <c r="I53" s="69">
        <f t="shared" si="28"/>
        <v>22000</v>
      </c>
      <c r="J53" s="53">
        <f t="shared" si="29"/>
        <v>62760</v>
      </c>
      <c r="K53" s="53">
        <f t="shared" ref="K53" si="41">J53*104.6%</f>
        <v>65646.960000000006</v>
      </c>
      <c r="L53" s="53">
        <v>22000</v>
      </c>
      <c r="M53" s="53"/>
      <c r="N53" s="53">
        <f t="shared" si="31"/>
        <v>0</v>
      </c>
    </row>
    <row r="54" spans="1:14" x14ac:dyDescent="0.3">
      <c r="A54" s="52"/>
      <c r="B54" s="51" t="s">
        <v>468</v>
      </c>
      <c r="C54" s="53">
        <v>0</v>
      </c>
      <c r="D54" s="53"/>
      <c r="E54" s="53">
        <f t="shared" si="0"/>
        <v>0</v>
      </c>
      <c r="F54" s="53"/>
      <c r="G54" s="53">
        <f t="shared" si="27"/>
        <v>0</v>
      </c>
      <c r="H54" s="170">
        <v>0</v>
      </c>
      <c r="I54" s="69">
        <f t="shared" si="28"/>
        <v>0</v>
      </c>
      <c r="J54" s="53">
        <f t="shared" si="29"/>
        <v>0</v>
      </c>
      <c r="K54" s="53">
        <f t="shared" ref="K54" si="42">J54*104.6%</f>
        <v>0</v>
      </c>
      <c r="L54" s="53"/>
      <c r="M54" s="53"/>
      <c r="N54" s="53">
        <f t="shared" si="31"/>
        <v>0</v>
      </c>
    </row>
    <row r="55" spans="1:14" x14ac:dyDescent="0.3">
      <c r="A55" s="52" t="s">
        <v>1084</v>
      </c>
      <c r="B55" s="52" t="s">
        <v>142</v>
      </c>
      <c r="C55" s="53">
        <v>60000</v>
      </c>
      <c r="D55" s="53"/>
      <c r="E55" s="53">
        <f t="shared" si="0"/>
        <v>60000</v>
      </c>
      <c r="F55" s="53"/>
      <c r="G55" s="53">
        <f t="shared" si="27"/>
        <v>60000</v>
      </c>
      <c r="H55" s="170">
        <v>-60000</v>
      </c>
      <c r="I55" s="69">
        <f t="shared" si="28"/>
        <v>0</v>
      </c>
      <c r="J55" s="53">
        <f t="shared" si="29"/>
        <v>62760</v>
      </c>
      <c r="K55" s="53">
        <f t="shared" ref="K55" si="43">J55*104.6%</f>
        <v>65646.960000000006</v>
      </c>
      <c r="L55" s="53"/>
      <c r="M55" s="53"/>
      <c r="N55" s="53">
        <f t="shared" si="31"/>
        <v>0</v>
      </c>
    </row>
    <row r="56" spans="1:14" x14ac:dyDescent="0.3">
      <c r="A56" s="52" t="s">
        <v>1087</v>
      </c>
      <c r="B56" s="52" t="s">
        <v>471</v>
      </c>
      <c r="C56" s="53">
        <v>350000</v>
      </c>
      <c r="D56" s="53"/>
      <c r="E56" s="53">
        <f t="shared" si="0"/>
        <v>350000</v>
      </c>
      <c r="F56" s="53"/>
      <c r="G56" s="53">
        <f t="shared" si="27"/>
        <v>350000</v>
      </c>
      <c r="H56" s="170">
        <v>-150000</v>
      </c>
      <c r="I56" s="69">
        <f t="shared" si="28"/>
        <v>200000</v>
      </c>
      <c r="J56" s="53">
        <f t="shared" si="29"/>
        <v>366100</v>
      </c>
      <c r="K56" s="53">
        <f t="shared" ref="K56" si="44">J56*104.6%</f>
        <v>382940.60000000003</v>
      </c>
      <c r="L56" s="53"/>
      <c r="M56" s="53"/>
      <c r="N56" s="53">
        <f t="shared" si="31"/>
        <v>200000</v>
      </c>
    </row>
    <row r="57" spans="1:14" x14ac:dyDescent="0.3">
      <c r="A57" s="52" t="s">
        <v>1086</v>
      </c>
      <c r="B57" s="52" t="s">
        <v>144</v>
      </c>
      <c r="C57" s="53">
        <v>20000</v>
      </c>
      <c r="D57" s="53"/>
      <c r="E57" s="53">
        <f t="shared" si="0"/>
        <v>20000</v>
      </c>
      <c r="F57" s="53"/>
      <c r="G57" s="53">
        <f t="shared" si="27"/>
        <v>20000</v>
      </c>
      <c r="H57" s="170">
        <v>-20000</v>
      </c>
      <c r="I57" s="69">
        <f t="shared" si="28"/>
        <v>0</v>
      </c>
      <c r="J57" s="53">
        <f t="shared" si="29"/>
        <v>20920</v>
      </c>
      <c r="K57" s="53">
        <f t="shared" ref="K57" si="45">J57*104.6%</f>
        <v>21882.32</v>
      </c>
      <c r="L57" s="53"/>
      <c r="M57" s="53"/>
      <c r="N57" s="53">
        <f t="shared" si="31"/>
        <v>0</v>
      </c>
    </row>
    <row r="58" spans="1:14" x14ac:dyDescent="0.3">
      <c r="A58" s="52" t="s">
        <v>1088</v>
      </c>
      <c r="B58" s="52" t="s">
        <v>160</v>
      </c>
      <c r="C58" s="53">
        <v>80000</v>
      </c>
      <c r="D58" s="53"/>
      <c r="E58" s="53">
        <f t="shared" si="0"/>
        <v>80000</v>
      </c>
      <c r="F58" s="53"/>
      <c r="G58" s="53">
        <f t="shared" si="27"/>
        <v>80000</v>
      </c>
      <c r="H58" s="170">
        <v>-80000</v>
      </c>
      <c r="I58" s="69">
        <f t="shared" si="28"/>
        <v>0</v>
      </c>
      <c r="J58" s="53">
        <f t="shared" si="29"/>
        <v>83680</v>
      </c>
      <c r="K58" s="53">
        <f t="shared" ref="K58" si="46">J58*104.6%</f>
        <v>87529.279999999999</v>
      </c>
      <c r="L58" s="53"/>
      <c r="M58" s="53"/>
      <c r="N58" s="53">
        <f t="shared" si="31"/>
        <v>0</v>
      </c>
    </row>
    <row r="59" spans="1:14" x14ac:dyDescent="0.3">
      <c r="A59" s="52" t="s">
        <v>1085</v>
      </c>
      <c r="B59" s="52" t="s">
        <v>143</v>
      </c>
      <c r="C59" s="53">
        <v>20000</v>
      </c>
      <c r="D59" s="53"/>
      <c r="E59" s="53">
        <f t="shared" si="0"/>
        <v>20000</v>
      </c>
      <c r="F59" s="53"/>
      <c r="G59" s="53">
        <f t="shared" si="27"/>
        <v>20000</v>
      </c>
      <c r="H59" s="170">
        <v>-20000</v>
      </c>
      <c r="I59" s="69">
        <f t="shared" si="28"/>
        <v>0</v>
      </c>
      <c r="J59" s="53">
        <f t="shared" si="29"/>
        <v>20920</v>
      </c>
      <c r="K59" s="53">
        <f t="shared" ref="K59" si="47">J59*104.6%</f>
        <v>21882.32</v>
      </c>
      <c r="L59" s="53"/>
      <c r="M59" s="53"/>
      <c r="N59" s="53">
        <f t="shared" si="31"/>
        <v>0</v>
      </c>
    </row>
    <row r="60" spans="1:14" x14ac:dyDescent="0.3">
      <c r="A60" s="52" t="s">
        <v>1306</v>
      </c>
      <c r="B60" s="52" t="s">
        <v>1307</v>
      </c>
      <c r="C60" s="53"/>
      <c r="D60" s="53"/>
      <c r="E60" s="53"/>
      <c r="F60" s="53">
        <v>1500000</v>
      </c>
      <c r="G60" s="53">
        <f t="shared" si="27"/>
        <v>1500000</v>
      </c>
      <c r="H60" s="170"/>
      <c r="I60" s="69">
        <f t="shared" si="28"/>
        <v>1500000</v>
      </c>
      <c r="J60" s="53"/>
      <c r="K60" s="53"/>
      <c r="L60" s="53"/>
      <c r="M60" s="53"/>
      <c r="N60" s="53">
        <f t="shared" si="31"/>
        <v>1500000</v>
      </c>
    </row>
    <row r="61" spans="1:14" x14ac:dyDescent="0.3">
      <c r="A61" s="52"/>
      <c r="B61" s="51" t="s">
        <v>469</v>
      </c>
      <c r="C61" s="53">
        <v>0</v>
      </c>
      <c r="D61" s="53"/>
      <c r="E61" s="53">
        <f t="shared" si="0"/>
        <v>0</v>
      </c>
      <c r="F61" s="53"/>
      <c r="G61" s="53">
        <f t="shared" si="27"/>
        <v>0</v>
      </c>
      <c r="H61" s="170"/>
      <c r="I61" s="69">
        <f t="shared" si="28"/>
        <v>0</v>
      </c>
      <c r="J61" s="53">
        <f t="shared" ref="J61:J72" si="48">C61*104.6%</f>
        <v>0</v>
      </c>
      <c r="K61" s="53">
        <f t="shared" ref="K61" si="49">J61*104.6%</f>
        <v>0</v>
      </c>
      <c r="L61" s="53"/>
      <c r="M61" s="53"/>
      <c r="N61" s="53">
        <f t="shared" si="31"/>
        <v>0</v>
      </c>
    </row>
    <row r="62" spans="1:14" x14ac:dyDescent="0.3">
      <c r="A62" s="52" t="s">
        <v>1091</v>
      </c>
      <c r="B62" s="52" t="s">
        <v>152</v>
      </c>
      <c r="C62" s="53">
        <v>60000</v>
      </c>
      <c r="D62" s="53"/>
      <c r="E62" s="53">
        <f t="shared" si="0"/>
        <v>60000</v>
      </c>
      <c r="F62" s="53"/>
      <c r="G62" s="53">
        <f t="shared" si="27"/>
        <v>60000</v>
      </c>
      <c r="H62" s="170">
        <v>-60000</v>
      </c>
      <c r="I62" s="69">
        <f t="shared" si="28"/>
        <v>0</v>
      </c>
      <c r="J62" s="53">
        <f t="shared" si="48"/>
        <v>62760</v>
      </c>
      <c r="K62" s="53">
        <f t="shared" ref="K62" si="50">J62*104.6%</f>
        <v>65646.960000000006</v>
      </c>
      <c r="L62" s="53"/>
      <c r="M62" s="53"/>
      <c r="N62" s="53">
        <f t="shared" si="31"/>
        <v>0</v>
      </c>
    </row>
    <row r="63" spans="1:14" x14ac:dyDescent="0.3">
      <c r="A63" s="52" t="s">
        <v>1093</v>
      </c>
      <c r="B63" s="52" t="s">
        <v>151</v>
      </c>
      <c r="C63" s="53">
        <v>30000</v>
      </c>
      <c r="D63" s="53"/>
      <c r="E63" s="53">
        <f t="shared" si="0"/>
        <v>30000</v>
      </c>
      <c r="F63" s="53"/>
      <c r="G63" s="53">
        <f t="shared" si="27"/>
        <v>30000</v>
      </c>
      <c r="H63" s="170">
        <v>-30000</v>
      </c>
      <c r="I63" s="69">
        <f t="shared" si="28"/>
        <v>0</v>
      </c>
      <c r="J63" s="53">
        <f t="shared" si="48"/>
        <v>31380</v>
      </c>
      <c r="K63" s="53">
        <f t="shared" ref="K63" si="51">J63*104.6%</f>
        <v>32823.480000000003</v>
      </c>
      <c r="L63" s="53"/>
      <c r="M63" s="53"/>
      <c r="N63" s="53">
        <f t="shared" si="31"/>
        <v>0</v>
      </c>
    </row>
    <row r="64" spans="1:14" x14ac:dyDescent="0.3">
      <c r="A64" s="52" t="s">
        <v>1094</v>
      </c>
      <c r="B64" s="52" t="s">
        <v>1089</v>
      </c>
      <c r="C64" s="53">
        <v>20000</v>
      </c>
      <c r="D64" s="53"/>
      <c r="E64" s="53">
        <f t="shared" si="0"/>
        <v>20000</v>
      </c>
      <c r="F64" s="53"/>
      <c r="G64" s="53">
        <f t="shared" si="27"/>
        <v>20000</v>
      </c>
      <c r="H64" s="170">
        <v>-20000</v>
      </c>
      <c r="I64" s="69">
        <f t="shared" si="28"/>
        <v>0</v>
      </c>
      <c r="J64" s="53">
        <f t="shared" si="48"/>
        <v>20920</v>
      </c>
      <c r="K64" s="53">
        <f t="shared" ref="K64" si="52">J64*104.6%</f>
        <v>21882.32</v>
      </c>
      <c r="L64" s="53"/>
      <c r="M64" s="53"/>
      <c r="N64" s="53">
        <f t="shared" si="31"/>
        <v>0</v>
      </c>
    </row>
    <row r="65" spans="1:14" x14ac:dyDescent="0.3">
      <c r="A65" s="52" t="s">
        <v>1095</v>
      </c>
      <c r="B65" s="52" t="s">
        <v>163</v>
      </c>
      <c r="C65" s="53">
        <v>60000</v>
      </c>
      <c r="D65" s="53"/>
      <c r="E65" s="53">
        <f t="shared" si="0"/>
        <v>60000</v>
      </c>
      <c r="F65" s="53"/>
      <c r="G65" s="53">
        <f t="shared" si="27"/>
        <v>60000</v>
      </c>
      <c r="H65" s="170">
        <v>-60000</v>
      </c>
      <c r="I65" s="69">
        <f t="shared" si="28"/>
        <v>0</v>
      </c>
      <c r="J65" s="53">
        <f t="shared" si="48"/>
        <v>62760</v>
      </c>
      <c r="K65" s="53">
        <f t="shared" ref="K65" si="53">J65*104.6%</f>
        <v>65646.960000000006</v>
      </c>
      <c r="L65" s="191"/>
      <c r="M65" s="191"/>
      <c r="N65" s="53">
        <f t="shared" si="31"/>
        <v>0</v>
      </c>
    </row>
    <row r="66" spans="1:14" x14ac:dyDescent="0.3">
      <c r="A66" s="52" t="s">
        <v>1092</v>
      </c>
      <c r="B66" s="52" t="s">
        <v>153</v>
      </c>
      <c r="C66" s="53">
        <v>20000</v>
      </c>
      <c r="D66" s="53"/>
      <c r="E66" s="53">
        <f t="shared" si="0"/>
        <v>20000</v>
      </c>
      <c r="F66" s="53"/>
      <c r="G66" s="53">
        <f t="shared" si="27"/>
        <v>20000</v>
      </c>
      <c r="H66" s="170">
        <v>-20000</v>
      </c>
      <c r="I66" s="69">
        <f t="shared" si="28"/>
        <v>0</v>
      </c>
      <c r="J66" s="53">
        <f t="shared" si="48"/>
        <v>20920</v>
      </c>
      <c r="K66" s="53">
        <f t="shared" ref="K66" si="54">J66*104.6%</f>
        <v>21882.32</v>
      </c>
      <c r="L66" s="53"/>
      <c r="M66" s="53"/>
      <c r="N66" s="53">
        <f t="shared" si="31"/>
        <v>0</v>
      </c>
    </row>
    <row r="67" spans="1:14" x14ac:dyDescent="0.3">
      <c r="A67" s="52"/>
      <c r="B67" s="51" t="s">
        <v>470</v>
      </c>
      <c r="C67" s="53">
        <v>0</v>
      </c>
      <c r="D67" s="53"/>
      <c r="E67" s="53">
        <f t="shared" si="0"/>
        <v>0</v>
      </c>
      <c r="F67" s="53"/>
      <c r="G67" s="53">
        <f t="shared" si="27"/>
        <v>0</v>
      </c>
      <c r="H67" s="170">
        <v>0</v>
      </c>
      <c r="I67" s="69">
        <f t="shared" si="28"/>
        <v>0</v>
      </c>
      <c r="J67" s="53">
        <f t="shared" si="48"/>
        <v>0</v>
      </c>
      <c r="K67" s="53">
        <f t="shared" ref="K67" si="55">J67*104.6%</f>
        <v>0</v>
      </c>
      <c r="L67" s="53"/>
      <c r="M67" s="53"/>
      <c r="N67" s="53">
        <f t="shared" si="31"/>
        <v>0</v>
      </c>
    </row>
    <row r="68" spans="1:14" x14ac:dyDescent="0.3">
      <c r="A68" s="52" t="s">
        <v>1096</v>
      </c>
      <c r="B68" s="52" t="s">
        <v>604</v>
      </c>
      <c r="C68" s="53">
        <v>40000</v>
      </c>
      <c r="D68" s="53"/>
      <c r="E68" s="53">
        <f t="shared" si="0"/>
        <v>40000</v>
      </c>
      <c r="F68" s="53"/>
      <c r="G68" s="53">
        <f t="shared" si="27"/>
        <v>40000</v>
      </c>
      <c r="H68" s="170">
        <v>-40000</v>
      </c>
      <c r="I68" s="69">
        <f t="shared" si="28"/>
        <v>0</v>
      </c>
      <c r="J68" s="53">
        <f t="shared" si="48"/>
        <v>41840</v>
      </c>
      <c r="K68" s="53">
        <f t="shared" ref="K68" si="56">J68*104.6%</f>
        <v>43764.639999999999</v>
      </c>
      <c r="L68" s="53"/>
      <c r="M68" s="53"/>
      <c r="N68" s="53">
        <f t="shared" si="31"/>
        <v>0</v>
      </c>
    </row>
    <row r="69" spans="1:14" x14ac:dyDescent="0.3">
      <c r="A69" s="52" t="s">
        <v>1099</v>
      </c>
      <c r="B69" s="52" t="s">
        <v>1090</v>
      </c>
      <c r="C69" s="53">
        <v>30000</v>
      </c>
      <c r="D69" s="53"/>
      <c r="E69" s="53">
        <f t="shared" si="0"/>
        <v>30000</v>
      </c>
      <c r="F69" s="53"/>
      <c r="G69" s="53">
        <f t="shared" si="27"/>
        <v>30000</v>
      </c>
      <c r="H69" s="170">
        <v>-30000</v>
      </c>
      <c r="I69" s="69">
        <f t="shared" si="28"/>
        <v>0</v>
      </c>
      <c r="J69" s="53">
        <f t="shared" si="48"/>
        <v>31380</v>
      </c>
      <c r="K69" s="53">
        <f t="shared" ref="K69" si="57">J69*104.6%</f>
        <v>32823.480000000003</v>
      </c>
      <c r="L69" s="53"/>
      <c r="M69" s="53"/>
      <c r="N69" s="53">
        <f t="shared" si="31"/>
        <v>0</v>
      </c>
    </row>
    <row r="70" spans="1:14" x14ac:dyDescent="0.3">
      <c r="A70" s="52" t="s">
        <v>1097</v>
      </c>
      <c r="B70" s="52" t="s">
        <v>603</v>
      </c>
      <c r="C70" s="53">
        <v>40000</v>
      </c>
      <c r="D70" s="53"/>
      <c r="E70" s="53">
        <f t="shared" si="0"/>
        <v>40000</v>
      </c>
      <c r="F70" s="53"/>
      <c r="G70" s="53">
        <f t="shared" si="27"/>
        <v>40000</v>
      </c>
      <c r="H70" s="170">
        <v>-40000</v>
      </c>
      <c r="I70" s="69">
        <f t="shared" si="28"/>
        <v>0</v>
      </c>
      <c r="J70" s="53">
        <f t="shared" si="48"/>
        <v>41840</v>
      </c>
      <c r="K70" s="53">
        <f t="shared" ref="K70" si="58">J70*104.6%</f>
        <v>43764.639999999999</v>
      </c>
      <c r="L70" s="53"/>
      <c r="M70" s="53"/>
      <c r="N70" s="53">
        <f t="shared" si="31"/>
        <v>0</v>
      </c>
    </row>
    <row r="71" spans="1:14" x14ac:dyDescent="0.3">
      <c r="A71" s="52" t="s">
        <v>1098</v>
      </c>
      <c r="B71" s="52" t="s">
        <v>605</v>
      </c>
      <c r="C71" s="53">
        <v>20000</v>
      </c>
      <c r="D71" s="53"/>
      <c r="E71" s="53">
        <f t="shared" si="0"/>
        <v>20000</v>
      </c>
      <c r="F71" s="53"/>
      <c r="G71" s="53">
        <f t="shared" si="27"/>
        <v>20000</v>
      </c>
      <c r="H71" s="170">
        <v>-20000</v>
      </c>
      <c r="I71" s="69">
        <f t="shared" si="28"/>
        <v>0</v>
      </c>
      <c r="J71" s="53">
        <f t="shared" si="48"/>
        <v>20920</v>
      </c>
      <c r="K71" s="53">
        <f t="shared" ref="K71" si="59">J71*104.6%</f>
        <v>21882.32</v>
      </c>
      <c r="L71" s="53"/>
      <c r="M71" s="53"/>
      <c r="N71" s="53">
        <f t="shared" si="31"/>
        <v>0</v>
      </c>
    </row>
    <row r="72" spans="1:14" x14ac:dyDescent="0.3">
      <c r="A72" s="52" t="s">
        <v>1100</v>
      </c>
      <c r="B72" s="52" t="s">
        <v>161</v>
      </c>
      <c r="C72" s="53">
        <v>50000</v>
      </c>
      <c r="D72" s="53"/>
      <c r="E72" s="53">
        <f t="shared" si="0"/>
        <v>50000</v>
      </c>
      <c r="F72" s="53"/>
      <c r="G72" s="53">
        <f t="shared" si="27"/>
        <v>50000</v>
      </c>
      <c r="H72" s="170">
        <v>-50000</v>
      </c>
      <c r="I72" s="69">
        <f t="shared" si="28"/>
        <v>0</v>
      </c>
      <c r="J72" s="53">
        <f t="shared" si="48"/>
        <v>52300</v>
      </c>
      <c r="K72" s="53">
        <f t="shared" ref="K72" si="60">J72*104.6%</f>
        <v>54705.8</v>
      </c>
      <c r="L72" s="53"/>
      <c r="M72" s="53"/>
      <c r="N72" s="53">
        <f t="shared" si="31"/>
        <v>0</v>
      </c>
    </row>
    <row r="73" spans="1:14" x14ac:dyDescent="0.3">
      <c r="A73" s="56"/>
      <c r="B73" s="55" t="s">
        <v>707</v>
      </c>
      <c r="C73" s="53"/>
      <c r="D73" s="53"/>
      <c r="E73" s="53">
        <f t="shared" si="0"/>
        <v>0</v>
      </c>
      <c r="F73" s="53"/>
      <c r="G73" s="53">
        <f t="shared" si="27"/>
        <v>0</v>
      </c>
      <c r="H73" s="170">
        <v>0</v>
      </c>
      <c r="I73" s="69">
        <f t="shared" si="28"/>
        <v>0</v>
      </c>
      <c r="J73" s="53"/>
      <c r="K73" s="53"/>
      <c r="L73" s="53"/>
      <c r="M73" s="53"/>
      <c r="N73" s="53">
        <f t="shared" si="31"/>
        <v>0</v>
      </c>
    </row>
    <row r="74" spans="1:14" x14ac:dyDescent="0.3">
      <c r="A74" s="56" t="s">
        <v>1101</v>
      </c>
      <c r="B74" s="56" t="s">
        <v>708</v>
      </c>
      <c r="C74" s="53">
        <v>100000</v>
      </c>
      <c r="D74" s="53"/>
      <c r="E74" s="53">
        <f t="shared" ref="E74:E137" si="61">C74+D74</f>
        <v>100000</v>
      </c>
      <c r="F74" s="53"/>
      <c r="G74" s="53">
        <f t="shared" si="27"/>
        <v>100000</v>
      </c>
      <c r="H74" s="170">
        <v>-86400</v>
      </c>
      <c r="I74" s="69">
        <f t="shared" si="28"/>
        <v>13600</v>
      </c>
      <c r="J74" s="53">
        <f t="shared" ref="J74:J85" si="62">C74*104.6%</f>
        <v>104600</v>
      </c>
      <c r="K74" s="53">
        <f t="shared" ref="K74" si="63">J74*104.6%</f>
        <v>109411.6</v>
      </c>
      <c r="L74" s="53">
        <v>13600</v>
      </c>
      <c r="M74" s="53"/>
      <c r="N74" s="53">
        <f t="shared" si="31"/>
        <v>0</v>
      </c>
    </row>
    <row r="75" spans="1:14" x14ac:dyDescent="0.3">
      <c r="A75" s="56" t="s">
        <v>1104</v>
      </c>
      <c r="B75" s="56" t="s">
        <v>1105</v>
      </c>
      <c r="C75" s="53">
        <v>80000</v>
      </c>
      <c r="D75" s="53"/>
      <c r="E75" s="53">
        <f t="shared" si="61"/>
        <v>80000</v>
      </c>
      <c r="F75" s="53"/>
      <c r="G75" s="53">
        <f t="shared" ref="G75:G106" si="64">E75+F75</f>
        <v>80000</v>
      </c>
      <c r="H75" s="170">
        <v>-350</v>
      </c>
      <c r="I75" s="69">
        <f t="shared" ref="I75:I106" si="65">G75+H75</f>
        <v>79650</v>
      </c>
      <c r="J75" s="53">
        <f t="shared" si="62"/>
        <v>83680</v>
      </c>
      <c r="K75" s="53">
        <f t="shared" ref="K75" si="66">J75*104.6%</f>
        <v>87529.279999999999</v>
      </c>
      <c r="L75" s="53">
        <v>79650</v>
      </c>
      <c r="M75" s="53"/>
      <c r="N75" s="53">
        <f t="shared" si="31"/>
        <v>0</v>
      </c>
    </row>
    <row r="76" spans="1:14" x14ac:dyDescent="0.3">
      <c r="A76" s="56" t="s">
        <v>1103</v>
      </c>
      <c r="B76" s="56" t="s">
        <v>709</v>
      </c>
      <c r="C76" s="53">
        <v>35000</v>
      </c>
      <c r="D76" s="53"/>
      <c r="E76" s="53">
        <f t="shared" si="61"/>
        <v>35000</v>
      </c>
      <c r="F76" s="53"/>
      <c r="G76" s="53">
        <f t="shared" si="64"/>
        <v>35000</v>
      </c>
      <c r="H76" s="170">
        <v>-29000</v>
      </c>
      <c r="I76" s="69">
        <f t="shared" si="65"/>
        <v>6000</v>
      </c>
      <c r="J76" s="53">
        <f t="shared" si="62"/>
        <v>36610</v>
      </c>
      <c r="K76" s="53">
        <f t="shared" ref="K76" si="67">J76*104.6%</f>
        <v>38294.060000000005</v>
      </c>
      <c r="L76" s="53">
        <v>6000</v>
      </c>
      <c r="M76" s="53"/>
      <c r="N76" s="53">
        <f t="shared" si="31"/>
        <v>0</v>
      </c>
    </row>
    <row r="77" spans="1:14" x14ac:dyDescent="0.3">
      <c r="A77" s="56" t="s">
        <v>1106</v>
      </c>
      <c r="B77" s="56" t="s">
        <v>710</v>
      </c>
      <c r="C77" s="53">
        <v>30000</v>
      </c>
      <c r="D77" s="53"/>
      <c r="E77" s="53">
        <f t="shared" si="61"/>
        <v>30000</v>
      </c>
      <c r="F77" s="53"/>
      <c r="G77" s="53">
        <f t="shared" si="64"/>
        <v>30000</v>
      </c>
      <c r="H77" s="170">
        <v>-30000</v>
      </c>
      <c r="I77" s="69">
        <f t="shared" si="65"/>
        <v>0</v>
      </c>
      <c r="J77" s="53">
        <f t="shared" si="62"/>
        <v>31380</v>
      </c>
      <c r="K77" s="53">
        <f t="shared" ref="K77" si="68">J77*104.6%</f>
        <v>32823.480000000003</v>
      </c>
      <c r="L77" s="53">
        <v>0</v>
      </c>
      <c r="M77" s="53"/>
      <c r="N77" s="53">
        <f t="shared" si="31"/>
        <v>0</v>
      </c>
    </row>
    <row r="78" spans="1:14" x14ac:dyDescent="0.3">
      <c r="A78" s="56" t="s">
        <v>1102</v>
      </c>
      <c r="B78" s="56" t="s">
        <v>711</v>
      </c>
      <c r="C78" s="53">
        <v>12000</v>
      </c>
      <c r="D78" s="53"/>
      <c r="E78" s="53">
        <f t="shared" si="61"/>
        <v>12000</v>
      </c>
      <c r="F78" s="53"/>
      <c r="G78" s="53">
        <f t="shared" si="64"/>
        <v>12000</v>
      </c>
      <c r="H78" s="170">
        <v>22000</v>
      </c>
      <c r="I78" s="69">
        <f t="shared" si="65"/>
        <v>34000</v>
      </c>
      <c r="J78" s="53">
        <f t="shared" si="62"/>
        <v>12552</v>
      </c>
      <c r="K78" s="53">
        <f t="shared" ref="K78" si="69">J78*104.6%</f>
        <v>13129.392</v>
      </c>
      <c r="L78" s="53">
        <v>34000</v>
      </c>
      <c r="M78" s="53"/>
      <c r="N78" s="53">
        <f t="shared" si="31"/>
        <v>0</v>
      </c>
    </row>
    <row r="79" spans="1:14" x14ac:dyDescent="0.3">
      <c r="A79" s="52"/>
      <c r="B79" s="51" t="s">
        <v>559</v>
      </c>
      <c r="C79" s="53">
        <v>0</v>
      </c>
      <c r="D79" s="53"/>
      <c r="E79" s="53">
        <f t="shared" si="61"/>
        <v>0</v>
      </c>
      <c r="F79" s="53"/>
      <c r="G79" s="53">
        <f t="shared" si="64"/>
        <v>0</v>
      </c>
      <c r="H79" s="170">
        <v>0</v>
      </c>
      <c r="I79" s="69">
        <f t="shared" si="65"/>
        <v>0</v>
      </c>
      <c r="J79" s="53">
        <f t="shared" si="62"/>
        <v>0</v>
      </c>
      <c r="K79" s="53">
        <f t="shared" ref="K79" si="70">J79*104.6%</f>
        <v>0</v>
      </c>
      <c r="L79" s="53"/>
      <c r="M79" s="53"/>
      <c r="N79" s="53">
        <f t="shared" si="31"/>
        <v>0</v>
      </c>
    </row>
    <row r="80" spans="1:14" x14ac:dyDescent="0.3">
      <c r="A80" s="52" t="s">
        <v>1107</v>
      </c>
      <c r="B80" s="52" t="s">
        <v>607</v>
      </c>
      <c r="C80" s="53">
        <v>200000</v>
      </c>
      <c r="D80" s="53"/>
      <c r="E80" s="53">
        <f t="shared" si="61"/>
        <v>200000</v>
      </c>
      <c r="F80" s="53"/>
      <c r="G80" s="53">
        <f t="shared" si="64"/>
        <v>200000</v>
      </c>
      <c r="H80" s="170">
        <v>-200000</v>
      </c>
      <c r="I80" s="69">
        <f t="shared" si="65"/>
        <v>0</v>
      </c>
      <c r="J80" s="53">
        <f t="shared" si="62"/>
        <v>209200</v>
      </c>
      <c r="K80" s="53">
        <f t="shared" ref="K80" si="71">J80*104.6%</f>
        <v>218823.2</v>
      </c>
      <c r="L80" s="53"/>
      <c r="M80" s="53"/>
      <c r="N80" s="53">
        <f t="shared" si="31"/>
        <v>0</v>
      </c>
    </row>
    <row r="81" spans="1:14" x14ac:dyDescent="0.3">
      <c r="A81" s="52" t="s">
        <v>1113</v>
      </c>
      <c r="B81" s="52" t="s">
        <v>608</v>
      </c>
      <c r="C81" s="53">
        <v>30000</v>
      </c>
      <c r="D81" s="53"/>
      <c r="E81" s="53">
        <f t="shared" si="61"/>
        <v>30000</v>
      </c>
      <c r="F81" s="53"/>
      <c r="G81" s="53">
        <f t="shared" si="64"/>
        <v>30000</v>
      </c>
      <c r="H81" s="170">
        <v>-30000</v>
      </c>
      <c r="I81" s="69">
        <f t="shared" si="65"/>
        <v>0</v>
      </c>
      <c r="J81" s="53">
        <f t="shared" si="62"/>
        <v>31380</v>
      </c>
      <c r="K81" s="53">
        <f t="shared" ref="K81:K82" si="72">J81*104.6%</f>
        <v>32823.480000000003</v>
      </c>
      <c r="L81" s="53"/>
      <c r="M81" s="53"/>
      <c r="N81" s="53">
        <f t="shared" si="31"/>
        <v>0</v>
      </c>
    </row>
    <row r="82" spans="1:14" x14ac:dyDescent="0.3">
      <c r="A82" s="52" t="s">
        <v>1112</v>
      </c>
      <c r="B82" s="52" t="s">
        <v>1111</v>
      </c>
      <c r="C82" s="53">
        <v>20000</v>
      </c>
      <c r="D82" s="53"/>
      <c r="E82" s="53">
        <f t="shared" si="61"/>
        <v>20000</v>
      </c>
      <c r="F82" s="53"/>
      <c r="G82" s="53">
        <f t="shared" si="64"/>
        <v>20000</v>
      </c>
      <c r="H82" s="170">
        <v>-20000</v>
      </c>
      <c r="I82" s="69">
        <f t="shared" si="65"/>
        <v>0</v>
      </c>
      <c r="J82" s="53">
        <f t="shared" si="62"/>
        <v>20920</v>
      </c>
      <c r="K82" s="53">
        <f t="shared" si="72"/>
        <v>21882.32</v>
      </c>
      <c r="L82" s="53"/>
      <c r="M82" s="53"/>
      <c r="N82" s="53">
        <f t="shared" si="31"/>
        <v>0</v>
      </c>
    </row>
    <row r="83" spans="1:14" x14ac:dyDescent="0.3">
      <c r="A83" s="52" t="s">
        <v>1109</v>
      </c>
      <c r="B83" s="52" t="s">
        <v>609</v>
      </c>
      <c r="C83" s="53">
        <v>60000</v>
      </c>
      <c r="D83" s="53"/>
      <c r="E83" s="53">
        <f t="shared" si="61"/>
        <v>60000</v>
      </c>
      <c r="F83" s="53"/>
      <c r="G83" s="53">
        <f t="shared" si="64"/>
        <v>60000</v>
      </c>
      <c r="H83" s="170">
        <v>-60000</v>
      </c>
      <c r="I83" s="69">
        <f t="shared" si="65"/>
        <v>0</v>
      </c>
      <c r="J83" s="53">
        <f t="shared" si="62"/>
        <v>62760</v>
      </c>
      <c r="K83" s="53">
        <f t="shared" ref="K83" si="73">J83*104.6%</f>
        <v>65646.960000000006</v>
      </c>
      <c r="L83" s="53"/>
      <c r="M83" s="53"/>
      <c r="N83" s="53">
        <f t="shared" si="31"/>
        <v>0</v>
      </c>
    </row>
    <row r="84" spans="1:14" x14ac:dyDescent="0.3">
      <c r="A84" s="52" t="s">
        <v>1110</v>
      </c>
      <c r="B84" s="52" t="s">
        <v>610</v>
      </c>
      <c r="C84" s="53">
        <v>120000</v>
      </c>
      <c r="D84" s="53"/>
      <c r="E84" s="53">
        <f t="shared" si="61"/>
        <v>120000</v>
      </c>
      <c r="F84" s="53"/>
      <c r="G84" s="53">
        <f t="shared" si="64"/>
        <v>120000</v>
      </c>
      <c r="H84" s="170">
        <f>(-20000-50000)-50000</f>
        <v>-120000</v>
      </c>
      <c r="I84" s="69">
        <f t="shared" si="65"/>
        <v>0</v>
      </c>
      <c r="J84" s="53">
        <f t="shared" si="62"/>
        <v>125520</v>
      </c>
      <c r="K84" s="53">
        <f t="shared" ref="K84" si="74">J84*104.6%</f>
        <v>131293.92000000001</v>
      </c>
      <c r="L84" s="53"/>
      <c r="M84" s="53"/>
      <c r="N84" s="53">
        <f t="shared" si="31"/>
        <v>0</v>
      </c>
    </row>
    <row r="85" spans="1:14" x14ac:dyDescent="0.3">
      <c r="A85" s="52" t="s">
        <v>1108</v>
      </c>
      <c r="B85" s="52" t="s">
        <v>611</v>
      </c>
      <c r="C85" s="53">
        <v>100000</v>
      </c>
      <c r="D85" s="53"/>
      <c r="E85" s="53">
        <f t="shared" si="61"/>
        <v>100000</v>
      </c>
      <c r="F85" s="53"/>
      <c r="G85" s="53">
        <f t="shared" si="64"/>
        <v>100000</v>
      </c>
      <c r="H85" s="170">
        <v>-100000</v>
      </c>
      <c r="I85" s="69">
        <f t="shared" si="65"/>
        <v>0</v>
      </c>
      <c r="J85" s="53">
        <f t="shared" si="62"/>
        <v>104600</v>
      </c>
      <c r="K85" s="53">
        <f t="shared" ref="K85" si="75">J85*104.6%</f>
        <v>109411.6</v>
      </c>
      <c r="L85" s="53"/>
      <c r="M85" s="53"/>
      <c r="N85" s="53">
        <f t="shared" si="31"/>
        <v>0</v>
      </c>
    </row>
    <row r="86" spans="1:14" x14ac:dyDescent="0.3">
      <c r="A86" s="52"/>
      <c r="B86" s="51" t="s">
        <v>712</v>
      </c>
      <c r="C86" s="53"/>
      <c r="D86" s="53"/>
      <c r="E86" s="53">
        <f t="shared" si="61"/>
        <v>0</v>
      </c>
      <c r="F86" s="53"/>
      <c r="G86" s="53">
        <f t="shared" si="64"/>
        <v>0</v>
      </c>
      <c r="H86" s="170">
        <v>0</v>
      </c>
      <c r="I86" s="69">
        <f t="shared" si="65"/>
        <v>0</v>
      </c>
      <c r="J86" s="53"/>
      <c r="K86" s="53"/>
      <c r="L86" s="53"/>
      <c r="M86" s="53"/>
      <c r="N86" s="53">
        <f t="shared" si="31"/>
        <v>0</v>
      </c>
    </row>
    <row r="87" spans="1:14" x14ac:dyDescent="0.3">
      <c r="A87" s="52" t="s">
        <v>1114</v>
      </c>
      <c r="B87" s="52" t="s">
        <v>1120</v>
      </c>
      <c r="C87" s="53">
        <v>70000</v>
      </c>
      <c r="D87" s="53"/>
      <c r="E87" s="53">
        <f t="shared" si="61"/>
        <v>70000</v>
      </c>
      <c r="F87" s="53"/>
      <c r="G87" s="53">
        <f t="shared" si="64"/>
        <v>70000</v>
      </c>
      <c r="H87" s="170">
        <v>-70000</v>
      </c>
      <c r="I87" s="69">
        <f t="shared" si="65"/>
        <v>0</v>
      </c>
      <c r="J87" s="53">
        <f t="shared" ref="J87:J95" si="76">C87*104.6%</f>
        <v>73220</v>
      </c>
      <c r="K87" s="53">
        <f t="shared" ref="K87" si="77">J87*104.6%</f>
        <v>76588.12000000001</v>
      </c>
      <c r="L87" s="53"/>
      <c r="M87" s="53"/>
      <c r="N87" s="53">
        <f t="shared" si="31"/>
        <v>0</v>
      </c>
    </row>
    <row r="88" spans="1:14" x14ac:dyDescent="0.3">
      <c r="A88" s="52" t="s">
        <v>1115</v>
      </c>
      <c r="B88" s="52" t="s">
        <v>1119</v>
      </c>
      <c r="C88" s="53">
        <v>40000</v>
      </c>
      <c r="D88" s="53"/>
      <c r="E88" s="53">
        <f t="shared" si="61"/>
        <v>40000</v>
      </c>
      <c r="F88" s="53"/>
      <c r="G88" s="53">
        <f t="shared" si="64"/>
        <v>40000</v>
      </c>
      <c r="H88" s="170">
        <v>-40000</v>
      </c>
      <c r="I88" s="69">
        <f t="shared" si="65"/>
        <v>0</v>
      </c>
      <c r="J88" s="53">
        <f t="shared" si="76"/>
        <v>41840</v>
      </c>
      <c r="K88" s="53">
        <f t="shared" ref="K88" si="78">J88*104.6%</f>
        <v>43764.639999999999</v>
      </c>
      <c r="L88" s="53"/>
      <c r="M88" s="53"/>
      <c r="N88" s="53">
        <f t="shared" si="31"/>
        <v>0</v>
      </c>
    </row>
    <row r="89" spans="1:14" x14ac:dyDescent="0.3">
      <c r="A89" s="52" t="s">
        <v>1121</v>
      </c>
      <c r="B89" s="52" t="s">
        <v>1118</v>
      </c>
      <c r="C89" s="53">
        <v>30000</v>
      </c>
      <c r="D89" s="53"/>
      <c r="E89" s="53">
        <f t="shared" si="61"/>
        <v>30000</v>
      </c>
      <c r="F89" s="53"/>
      <c r="G89" s="53">
        <f t="shared" si="64"/>
        <v>30000</v>
      </c>
      <c r="H89" s="170">
        <v>-30000</v>
      </c>
      <c r="I89" s="69">
        <f t="shared" si="65"/>
        <v>0</v>
      </c>
      <c r="J89" s="53">
        <f t="shared" si="76"/>
        <v>31380</v>
      </c>
      <c r="K89" s="53">
        <f t="shared" ref="K89" si="79">J89*104.6%</f>
        <v>32823.480000000003</v>
      </c>
      <c r="L89" s="53"/>
      <c r="M89" s="53"/>
      <c r="N89" s="53">
        <f t="shared" si="31"/>
        <v>0</v>
      </c>
    </row>
    <row r="90" spans="1:14" x14ac:dyDescent="0.3">
      <c r="A90" s="52" t="s">
        <v>1116</v>
      </c>
      <c r="B90" s="52" t="s">
        <v>1117</v>
      </c>
      <c r="C90" s="53">
        <v>20000</v>
      </c>
      <c r="D90" s="53"/>
      <c r="E90" s="53">
        <f t="shared" si="61"/>
        <v>20000</v>
      </c>
      <c r="F90" s="53"/>
      <c r="G90" s="53">
        <f t="shared" si="64"/>
        <v>20000</v>
      </c>
      <c r="H90" s="170">
        <v>-20000</v>
      </c>
      <c r="I90" s="69">
        <f t="shared" si="65"/>
        <v>0</v>
      </c>
      <c r="J90" s="53">
        <f t="shared" si="76"/>
        <v>20920</v>
      </c>
      <c r="K90" s="53">
        <f t="shared" ref="K90" si="80">J90*104.6%</f>
        <v>21882.32</v>
      </c>
      <c r="L90" s="53"/>
      <c r="M90" s="53"/>
      <c r="N90" s="53">
        <f t="shared" si="31"/>
        <v>0</v>
      </c>
    </row>
    <row r="91" spans="1:14" x14ac:dyDescent="0.3">
      <c r="A91" s="52"/>
      <c r="B91" s="51" t="s">
        <v>489</v>
      </c>
      <c r="C91" s="53">
        <v>0</v>
      </c>
      <c r="D91" s="53"/>
      <c r="E91" s="53">
        <f t="shared" si="61"/>
        <v>0</v>
      </c>
      <c r="F91" s="53"/>
      <c r="G91" s="53">
        <f t="shared" si="64"/>
        <v>0</v>
      </c>
      <c r="H91" s="170">
        <v>0</v>
      </c>
      <c r="I91" s="69">
        <f t="shared" si="65"/>
        <v>0</v>
      </c>
      <c r="J91" s="53">
        <f t="shared" si="76"/>
        <v>0</v>
      </c>
      <c r="K91" s="53">
        <f t="shared" ref="K91" si="81">J91*104.6%</f>
        <v>0</v>
      </c>
      <c r="L91" s="53"/>
      <c r="M91" s="53"/>
      <c r="N91" s="53">
        <f t="shared" si="31"/>
        <v>0</v>
      </c>
    </row>
    <row r="92" spans="1:14" x14ac:dyDescent="0.3">
      <c r="A92" s="52" t="s">
        <v>1122</v>
      </c>
      <c r="B92" s="52" t="s">
        <v>1123</v>
      </c>
      <c r="C92" s="53">
        <v>120000</v>
      </c>
      <c r="D92" s="53"/>
      <c r="E92" s="53">
        <f t="shared" si="61"/>
        <v>120000</v>
      </c>
      <c r="F92" s="53"/>
      <c r="G92" s="53">
        <f t="shared" si="64"/>
        <v>120000</v>
      </c>
      <c r="H92" s="170">
        <v>-89400</v>
      </c>
      <c r="I92" s="69">
        <f t="shared" si="65"/>
        <v>30600</v>
      </c>
      <c r="J92" s="53">
        <f t="shared" si="76"/>
        <v>125520</v>
      </c>
      <c r="K92" s="53">
        <f t="shared" ref="K92" si="82">J92*104.6%</f>
        <v>131293.92000000001</v>
      </c>
      <c r="L92" s="53">
        <v>30600</v>
      </c>
      <c r="M92" s="53"/>
      <c r="N92" s="53">
        <f t="shared" si="31"/>
        <v>0</v>
      </c>
    </row>
    <row r="93" spans="1:14" x14ac:dyDescent="0.3">
      <c r="A93" s="52" t="s">
        <v>1129</v>
      </c>
      <c r="B93" s="52" t="s">
        <v>1124</v>
      </c>
      <c r="C93" s="53">
        <v>80000</v>
      </c>
      <c r="D93" s="53"/>
      <c r="E93" s="53">
        <f t="shared" si="61"/>
        <v>80000</v>
      </c>
      <c r="F93" s="53"/>
      <c r="G93" s="53">
        <f t="shared" si="64"/>
        <v>80000</v>
      </c>
      <c r="H93" s="170">
        <v>-50130</v>
      </c>
      <c r="I93" s="69">
        <f t="shared" si="65"/>
        <v>29870</v>
      </c>
      <c r="J93" s="53">
        <f t="shared" si="76"/>
        <v>83680</v>
      </c>
      <c r="K93" s="53">
        <f t="shared" ref="K93" si="83">J93*104.6%</f>
        <v>87529.279999999999</v>
      </c>
      <c r="L93" s="53">
        <v>29870</v>
      </c>
      <c r="M93" s="53"/>
      <c r="N93" s="53">
        <f t="shared" si="31"/>
        <v>0</v>
      </c>
    </row>
    <row r="94" spans="1:14" x14ac:dyDescent="0.3">
      <c r="A94" s="52" t="s">
        <v>1128</v>
      </c>
      <c r="B94" s="52" t="s">
        <v>1125</v>
      </c>
      <c r="C94" s="53">
        <v>30000</v>
      </c>
      <c r="D94" s="53"/>
      <c r="E94" s="53">
        <f t="shared" si="61"/>
        <v>30000</v>
      </c>
      <c r="F94" s="53"/>
      <c r="G94" s="53">
        <f t="shared" si="64"/>
        <v>30000</v>
      </c>
      <c r="H94" s="170">
        <v>-23000</v>
      </c>
      <c r="I94" s="69">
        <f t="shared" si="65"/>
        <v>7000</v>
      </c>
      <c r="J94" s="53">
        <f t="shared" si="76"/>
        <v>31380</v>
      </c>
      <c r="K94" s="53">
        <f t="shared" ref="K94" si="84">J94*104.6%</f>
        <v>32823.480000000003</v>
      </c>
      <c r="L94" s="53">
        <v>7000</v>
      </c>
      <c r="M94" s="53"/>
      <c r="N94" s="53">
        <f t="shared" si="31"/>
        <v>0</v>
      </c>
    </row>
    <row r="95" spans="1:14" x14ac:dyDescent="0.3">
      <c r="A95" s="52" t="s">
        <v>1127</v>
      </c>
      <c r="B95" s="52" t="s">
        <v>1126</v>
      </c>
      <c r="C95" s="53">
        <v>80000</v>
      </c>
      <c r="D95" s="53"/>
      <c r="E95" s="53">
        <f t="shared" si="61"/>
        <v>80000</v>
      </c>
      <c r="F95" s="53"/>
      <c r="G95" s="53">
        <f t="shared" si="64"/>
        <v>80000</v>
      </c>
      <c r="H95" s="170">
        <v>-51000</v>
      </c>
      <c r="I95" s="69">
        <f t="shared" si="65"/>
        <v>29000</v>
      </c>
      <c r="J95" s="53">
        <f t="shared" si="76"/>
        <v>83680</v>
      </c>
      <c r="K95" s="53">
        <f t="shared" ref="K95" si="85">J95*104.6%</f>
        <v>87529.279999999999</v>
      </c>
      <c r="L95" s="53">
        <v>29000</v>
      </c>
      <c r="M95" s="53"/>
      <c r="N95" s="53">
        <f t="shared" si="31"/>
        <v>0</v>
      </c>
    </row>
    <row r="96" spans="1:14" x14ac:dyDescent="0.3">
      <c r="A96" s="52"/>
      <c r="B96" s="51" t="s">
        <v>713</v>
      </c>
      <c r="C96" s="53"/>
      <c r="D96" s="53"/>
      <c r="E96" s="53">
        <f t="shared" si="61"/>
        <v>0</v>
      </c>
      <c r="F96" s="53"/>
      <c r="G96" s="53">
        <f t="shared" si="64"/>
        <v>0</v>
      </c>
      <c r="H96" s="170">
        <v>0</v>
      </c>
      <c r="I96" s="69">
        <f t="shared" si="65"/>
        <v>0</v>
      </c>
      <c r="J96" s="53"/>
      <c r="K96" s="53"/>
      <c r="L96" s="53"/>
      <c r="M96" s="53"/>
      <c r="N96" s="53">
        <f t="shared" si="31"/>
        <v>0</v>
      </c>
    </row>
    <row r="97" spans="1:16" x14ac:dyDescent="0.3">
      <c r="A97" s="52" t="s">
        <v>1130</v>
      </c>
      <c r="B97" s="52" t="s">
        <v>1131</v>
      </c>
      <c r="C97" s="53">
        <v>30000</v>
      </c>
      <c r="D97" s="53"/>
      <c r="E97" s="53">
        <f t="shared" si="61"/>
        <v>30000</v>
      </c>
      <c r="F97" s="53"/>
      <c r="G97" s="53">
        <f t="shared" si="64"/>
        <v>30000</v>
      </c>
      <c r="H97" s="170">
        <v>-28200</v>
      </c>
      <c r="I97" s="69">
        <f t="shared" si="65"/>
        <v>1800</v>
      </c>
      <c r="J97" s="53">
        <f t="shared" ref="J97:J112" si="86">C97*104.6%</f>
        <v>31380</v>
      </c>
      <c r="K97" s="53">
        <f t="shared" ref="K97" si="87">J97*104.6%</f>
        <v>32823.480000000003</v>
      </c>
      <c r="L97" s="53">
        <v>1800</v>
      </c>
      <c r="M97" s="53"/>
      <c r="N97" s="53">
        <f t="shared" si="31"/>
        <v>0</v>
      </c>
    </row>
    <row r="98" spans="1:16" x14ac:dyDescent="0.3">
      <c r="A98" s="52" t="s">
        <v>1132</v>
      </c>
      <c r="B98" s="52" t="s">
        <v>1133</v>
      </c>
      <c r="C98" s="53">
        <v>10000</v>
      </c>
      <c r="D98" s="53"/>
      <c r="E98" s="53">
        <f t="shared" si="61"/>
        <v>10000</v>
      </c>
      <c r="F98" s="53"/>
      <c r="G98" s="53">
        <f t="shared" si="64"/>
        <v>10000</v>
      </c>
      <c r="H98" s="170">
        <v>-10000</v>
      </c>
      <c r="I98" s="69">
        <f t="shared" si="65"/>
        <v>0</v>
      </c>
      <c r="J98" s="53">
        <f t="shared" si="86"/>
        <v>10460</v>
      </c>
      <c r="K98" s="53">
        <f t="shared" ref="K98" si="88">J98*104.6%</f>
        <v>10941.16</v>
      </c>
      <c r="L98" s="53"/>
      <c r="M98" s="53"/>
      <c r="N98" s="53">
        <f t="shared" si="31"/>
        <v>0</v>
      </c>
    </row>
    <row r="99" spans="1:16" x14ac:dyDescent="0.3">
      <c r="A99" s="52"/>
      <c r="B99" s="51" t="s">
        <v>714</v>
      </c>
      <c r="C99" s="53"/>
      <c r="D99" s="53"/>
      <c r="E99" s="53">
        <f t="shared" si="61"/>
        <v>0</v>
      </c>
      <c r="F99" s="53"/>
      <c r="G99" s="53">
        <f t="shared" si="64"/>
        <v>0</v>
      </c>
      <c r="H99" s="170">
        <v>0</v>
      </c>
      <c r="I99" s="69">
        <f t="shared" si="65"/>
        <v>0</v>
      </c>
      <c r="J99" s="53">
        <f t="shared" si="86"/>
        <v>0</v>
      </c>
      <c r="K99" s="53">
        <f t="shared" ref="K99" si="89">J99*104.6%</f>
        <v>0</v>
      </c>
      <c r="L99" s="53"/>
      <c r="M99" s="53"/>
      <c r="N99" s="53">
        <f t="shared" si="31"/>
        <v>0</v>
      </c>
    </row>
    <row r="100" spans="1:16" x14ac:dyDescent="0.3">
      <c r="A100" s="52" t="s">
        <v>1134</v>
      </c>
      <c r="B100" s="52" t="s">
        <v>1135</v>
      </c>
      <c r="C100" s="53">
        <v>50000</v>
      </c>
      <c r="D100" s="53"/>
      <c r="E100" s="53">
        <f t="shared" si="61"/>
        <v>50000</v>
      </c>
      <c r="F100" s="53"/>
      <c r="G100" s="53">
        <f t="shared" si="64"/>
        <v>50000</v>
      </c>
      <c r="H100" s="170">
        <f>(5000-580)-0</f>
        <v>4420</v>
      </c>
      <c r="I100" s="69">
        <f t="shared" si="65"/>
        <v>54420</v>
      </c>
      <c r="J100" s="53">
        <f t="shared" si="86"/>
        <v>52300</v>
      </c>
      <c r="K100" s="53">
        <f t="shared" ref="K100" si="90">J100*104.6%</f>
        <v>54705.8</v>
      </c>
      <c r="L100" s="53">
        <v>54420</v>
      </c>
      <c r="M100" s="53"/>
      <c r="N100" s="53">
        <f t="shared" si="31"/>
        <v>0</v>
      </c>
    </row>
    <row r="101" spans="1:16" x14ac:dyDescent="0.3">
      <c r="A101" s="52" t="s">
        <v>1141</v>
      </c>
      <c r="B101" s="52" t="s">
        <v>1136</v>
      </c>
      <c r="C101" s="53">
        <v>30000</v>
      </c>
      <c r="D101" s="53"/>
      <c r="E101" s="53">
        <f t="shared" si="61"/>
        <v>30000</v>
      </c>
      <c r="F101" s="53"/>
      <c r="G101" s="53">
        <f t="shared" si="64"/>
        <v>30000</v>
      </c>
      <c r="H101" s="170">
        <v>-100</v>
      </c>
      <c r="I101" s="69">
        <f t="shared" si="65"/>
        <v>29900</v>
      </c>
      <c r="J101" s="53">
        <f t="shared" si="86"/>
        <v>31380</v>
      </c>
      <c r="K101" s="53">
        <f t="shared" ref="K101" si="91">J101*104.6%</f>
        <v>32823.480000000003</v>
      </c>
      <c r="L101" s="53">
        <v>29900</v>
      </c>
      <c r="M101" s="53"/>
      <c r="N101" s="53">
        <f t="shared" si="31"/>
        <v>0</v>
      </c>
    </row>
    <row r="102" spans="1:16" x14ac:dyDescent="0.3">
      <c r="A102" s="52" t="s">
        <v>1140</v>
      </c>
      <c r="B102" s="52" t="s">
        <v>1137</v>
      </c>
      <c r="C102" s="53">
        <v>20000</v>
      </c>
      <c r="D102" s="53"/>
      <c r="E102" s="53">
        <f t="shared" si="61"/>
        <v>20000</v>
      </c>
      <c r="F102" s="53"/>
      <c r="G102" s="53">
        <f t="shared" si="64"/>
        <v>20000</v>
      </c>
      <c r="H102" s="170">
        <f>(-5000-8000)-0</f>
        <v>-13000</v>
      </c>
      <c r="I102" s="69">
        <f t="shared" si="65"/>
        <v>7000</v>
      </c>
      <c r="J102" s="53">
        <f t="shared" si="86"/>
        <v>20920</v>
      </c>
      <c r="K102" s="53">
        <f t="shared" ref="K102" si="92">J102*104.6%</f>
        <v>21882.32</v>
      </c>
      <c r="L102" s="53">
        <v>7000</v>
      </c>
      <c r="M102" s="53"/>
      <c r="N102" s="53">
        <f t="shared" si="31"/>
        <v>0</v>
      </c>
    </row>
    <row r="103" spans="1:16" x14ac:dyDescent="0.3">
      <c r="A103" s="52" t="s">
        <v>1139</v>
      </c>
      <c r="B103" s="52" t="s">
        <v>1138</v>
      </c>
      <c r="C103" s="53">
        <v>40000</v>
      </c>
      <c r="D103" s="53"/>
      <c r="E103" s="53">
        <f t="shared" si="61"/>
        <v>40000</v>
      </c>
      <c r="F103" s="53"/>
      <c r="G103" s="53">
        <f t="shared" si="64"/>
        <v>40000</v>
      </c>
      <c r="H103" s="170">
        <v>-14500</v>
      </c>
      <c r="I103" s="69">
        <f t="shared" si="65"/>
        <v>25500</v>
      </c>
      <c r="J103" s="53">
        <f t="shared" si="86"/>
        <v>41840</v>
      </c>
      <c r="K103" s="53">
        <f t="shared" ref="K103" si="93">J103*104.6%</f>
        <v>43764.639999999999</v>
      </c>
      <c r="L103" s="53">
        <v>25500</v>
      </c>
      <c r="M103" s="53"/>
      <c r="N103" s="53">
        <f t="shared" si="31"/>
        <v>0</v>
      </c>
    </row>
    <row r="104" spans="1:16" x14ac:dyDescent="0.3">
      <c r="A104" s="52"/>
      <c r="B104" s="51" t="s">
        <v>491</v>
      </c>
      <c r="C104" s="53">
        <v>0</v>
      </c>
      <c r="D104" s="53"/>
      <c r="E104" s="53">
        <f t="shared" si="61"/>
        <v>0</v>
      </c>
      <c r="F104" s="53"/>
      <c r="G104" s="53">
        <f t="shared" si="64"/>
        <v>0</v>
      </c>
      <c r="H104" s="170">
        <v>0</v>
      </c>
      <c r="I104" s="69">
        <f t="shared" si="65"/>
        <v>0</v>
      </c>
      <c r="J104" s="53">
        <f t="shared" si="86"/>
        <v>0</v>
      </c>
      <c r="K104" s="53">
        <f t="shared" ref="K104" si="94">J104*104.6%</f>
        <v>0</v>
      </c>
      <c r="L104" s="53">
        <v>0</v>
      </c>
      <c r="M104" s="53"/>
      <c r="N104" s="53">
        <f t="shared" si="31"/>
        <v>0</v>
      </c>
    </row>
    <row r="105" spans="1:16" x14ac:dyDescent="0.3">
      <c r="A105" s="52" t="s">
        <v>1142</v>
      </c>
      <c r="B105" s="52" t="s">
        <v>506</v>
      </c>
      <c r="C105" s="53">
        <v>100000</v>
      </c>
      <c r="D105" s="53"/>
      <c r="E105" s="53">
        <f t="shared" si="61"/>
        <v>100000</v>
      </c>
      <c r="F105" s="53"/>
      <c r="G105" s="53">
        <f t="shared" si="64"/>
        <v>100000</v>
      </c>
      <c r="H105" s="170">
        <v>-45200</v>
      </c>
      <c r="I105" s="69">
        <f t="shared" si="65"/>
        <v>54800</v>
      </c>
      <c r="J105" s="53">
        <f t="shared" si="86"/>
        <v>104600</v>
      </c>
      <c r="K105" s="53">
        <f t="shared" ref="K105" si="95">J105*104.6%</f>
        <v>109411.6</v>
      </c>
      <c r="L105" s="53">
        <v>54800</v>
      </c>
      <c r="M105" s="53"/>
      <c r="N105" s="53">
        <f t="shared" si="31"/>
        <v>0</v>
      </c>
    </row>
    <row r="106" spans="1:16" x14ac:dyDescent="0.3">
      <c r="A106" s="52" t="s">
        <v>1143</v>
      </c>
      <c r="B106" s="52" t="s">
        <v>507</v>
      </c>
      <c r="C106" s="53">
        <v>200000</v>
      </c>
      <c r="D106" s="53"/>
      <c r="E106" s="53">
        <f t="shared" si="61"/>
        <v>200000</v>
      </c>
      <c r="F106" s="53"/>
      <c r="G106" s="53">
        <f t="shared" si="64"/>
        <v>200000</v>
      </c>
      <c r="H106" s="170">
        <v>-107000</v>
      </c>
      <c r="I106" s="69">
        <f t="shared" si="65"/>
        <v>93000</v>
      </c>
      <c r="J106" s="53">
        <f t="shared" si="86"/>
        <v>209200</v>
      </c>
      <c r="K106" s="53">
        <f t="shared" ref="K106" si="96">J106*104.6%</f>
        <v>218823.2</v>
      </c>
      <c r="L106" s="53">
        <v>93000</v>
      </c>
      <c r="M106" s="53"/>
      <c r="N106" s="53">
        <f t="shared" si="31"/>
        <v>0</v>
      </c>
    </row>
    <row r="107" spans="1:16" x14ac:dyDescent="0.3">
      <c r="A107" s="52" t="s">
        <v>1144</v>
      </c>
      <c r="B107" s="52" t="s">
        <v>508</v>
      </c>
      <c r="C107" s="53">
        <v>100000</v>
      </c>
      <c r="D107" s="53"/>
      <c r="E107" s="53">
        <f t="shared" si="61"/>
        <v>100000</v>
      </c>
      <c r="F107" s="53"/>
      <c r="G107" s="53">
        <f t="shared" ref="G107:G112" si="97">E107+F107</f>
        <v>100000</v>
      </c>
      <c r="H107" s="170">
        <v>-7000</v>
      </c>
      <c r="I107" s="69">
        <f t="shared" ref="I107:I112" si="98">G107+H107</f>
        <v>93000</v>
      </c>
      <c r="J107" s="53">
        <f t="shared" si="86"/>
        <v>104600</v>
      </c>
      <c r="K107" s="53">
        <f t="shared" ref="K107" si="99">J107*104.6%</f>
        <v>109411.6</v>
      </c>
      <c r="L107" s="53">
        <v>93000</v>
      </c>
      <c r="M107" s="53"/>
      <c r="N107" s="53">
        <f t="shared" ref="N107:N112" si="100">I107-L107-M107</f>
        <v>0</v>
      </c>
    </row>
    <row r="108" spans="1:16" x14ac:dyDescent="0.3">
      <c r="A108" s="52"/>
      <c r="B108" s="52"/>
      <c r="C108" s="53">
        <v>0</v>
      </c>
      <c r="D108" s="53"/>
      <c r="E108" s="53">
        <f t="shared" si="61"/>
        <v>0</v>
      </c>
      <c r="F108" s="53"/>
      <c r="G108" s="53">
        <f t="shared" si="97"/>
        <v>0</v>
      </c>
      <c r="H108" s="170">
        <v>0</v>
      </c>
      <c r="I108" s="69">
        <f t="shared" si="98"/>
        <v>0</v>
      </c>
      <c r="J108" s="53">
        <f t="shared" si="86"/>
        <v>0</v>
      </c>
      <c r="K108" s="53">
        <f t="shared" ref="K108" si="101">J108*104.6%</f>
        <v>0</v>
      </c>
      <c r="L108" s="53">
        <v>0</v>
      </c>
      <c r="M108" s="53"/>
      <c r="N108" s="53">
        <f t="shared" si="100"/>
        <v>0</v>
      </c>
    </row>
    <row r="109" spans="1:16" s="77" customFormat="1" ht="13.5" customHeight="1" x14ac:dyDescent="0.3">
      <c r="A109" s="51"/>
      <c r="B109" s="51" t="s">
        <v>492</v>
      </c>
      <c r="C109" s="53">
        <v>0</v>
      </c>
      <c r="D109" s="53"/>
      <c r="E109" s="53">
        <f t="shared" si="61"/>
        <v>0</v>
      </c>
      <c r="F109" s="53"/>
      <c r="G109" s="53">
        <f t="shared" si="97"/>
        <v>0</v>
      </c>
      <c r="H109" s="170">
        <v>0</v>
      </c>
      <c r="I109" s="69">
        <f t="shared" si="98"/>
        <v>0</v>
      </c>
      <c r="J109" s="53">
        <f t="shared" si="86"/>
        <v>0</v>
      </c>
      <c r="K109" s="53">
        <f t="shared" ref="K109" si="102">J109*104.6%</f>
        <v>0</v>
      </c>
      <c r="L109" s="67">
        <v>0</v>
      </c>
      <c r="M109" s="67"/>
      <c r="N109" s="53">
        <f t="shared" si="100"/>
        <v>0</v>
      </c>
      <c r="O109" s="76"/>
      <c r="P109" s="76"/>
    </row>
    <row r="110" spans="1:16" x14ac:dyDescent="0.3">
      <c r="A110" s="52" t="s">
        <v>1148</v>
      </c>
      <c r="B110" s="52" t="s">
        <v>1145</v>
      </c>
      <c r="C110" s="53">
        <v>120000</v>
      </c>
      <c r="D110" s="53"/>
      <c r="E110" s="53">
        <f t="shared" si="61"/>
        <v>120000</v>
      </c>
      <c r="F110" s="53"/>
      <c r="G110" s="53">
        <f t="shared" si="97"/>
        <v>120000</v>
      </c>
      <c r="H110" s="170">
        <v>-86340</v>
      </c>
      <c r="I110" s="69">
        <f t="shared" si="98"/>
        <v>33660</v>
      </c>
      <c r="J110" s="53">
        <f t="shared" si="86"/>
        <v>125520</v>
      </c>
      <c r="K110" s="53">
        <f t="shared" ref="K110" si="103">J110*104.6%</f>
        <v>131293.92000000001</v>
      </c>
      <c r="L110" s="53">
        <v>33660</v>
      </c>
      <c r="M110" s="53"/>
      <c r="N110" s="53">
        <f t="shared" si="100"/>
        <v>0</v>
      </c>
    </row>
    <row r="111" spans="1:16" x14ac:dyDescent="0.3">
      <c r="A111" s="52" t="s">
        <v>1149</v>
      </c>
      <c r="B111" s="52" t="s">
        <v>1146</v>
      </c>
      <c r="C111" s="53">
        <v>20000</v>
      </c>
      <c r="D111" s="53"/>
      <c r="E111" s="53">
        <f t="shared" si="61"/>
        <v>20000</v>
      </c>
      <c r="F111" s="53"/>
      <c r="G111" s="53">
        <f t="shared" si="97"/>
        <v>20000</v>
      </c>
      <c r="H111" s="170">
        <v>-14000</v>
      </c>
      <c r="I111" s="69">
        <f t="shared" si="98"/>
        <v>6000</v>
      </c>
      <c r="J111" s="53">
        <f t="shared" si="86"/>
        <v>20920</v>
      </c>
      <c r="K111" s="53">
        <f t="shared" ref="K111" si="104">J111*104.6%</f>
        <v>21882.32</v>
      </c>
      <c r="L111" s="53">
        <v>6000</v>
      </c>
      <c r="M111" s="53"/>
      <c r="N111" s="53">
        <f t="shared" si="100"/>
        <v>0</v>
      </c>
    </row>
    <row r="112" spans="1:16" ht="13.5" thickBot="1" x14ac:dyDescent="0.35">
      <c r="A112" s="52" t="s">
        <v>1150</v>
      </c>
      <c r="B112" s="52" t="s">
        <v>1147</v>
      </c>
      <c r="C112" s="53">
        <v>60000</v>
      </c>
      <c r="D112" s="53"/>
      <c r="E112" s="53">
        <f t="shared" si="61"/>
        <v>60000</v>
      </c>
      <c r="F112" s="53"/>
      <c r="G112" s="53">
        <f t="shared" si="97"/>
        <v>60000</v>
      </c>
      <c r="H112" s="170">
        <v>-60000</v>
      </c>
      <c r="I112" s="69">
        <f t="shared" si="98"/>
        <v>0</v>
      </c>
      <c r="J112" s="53">
        <f t="shared" si="86"/>
        <v>62760</v>
      </c>
      <c r="K112" s="53">
        <f t="shared" ref="K112" si="105">J112*104.6%</f>
        <v>65646.960000000006</v>
      </c>
      <c r="L112" s="53"/>
      <c r="M112" s="53"/>
      <c r="N112" s="53">
        <f t="shared" si="100"/>
        <v>0</v>
      </c>
    </row>
    <row r="113" spans="1:16" s="77" customFormat="1" ht="13.5" thickBot="1" x14ac:dyDescent="0.35">
      <c r="A113" s="57" t="s">
        <v>678</v>
      </c>
      <c r="B113" s="57"/>
      <c r="C113" s="59">
        <f t="shared" ref="C113:N113" si="106">SUM(C42:C112)</f>
        <v>3697000</v>
      </c>
      <c r="D113" s="59">
        <f t="shared" si="106"/>
        <v>0</v>
      </c>
      <c r="E113" s="59">
        <f t="shared" si="106"/>
        <v>3697000</v>
      </c>
      <c r="F113" s="59">
        <f t="shared" si="106"/>
        <v>1500000</v>
      </c>
      <c r="G113" s="59">
        <f t="shared" si="106"/>
        <v>5197000</v>
      </c>
      <c r="H113" s="171">
        <f t="shared" si="106"/>
        <v>-2610382</v>
      </c>
      <c r="I113" s="59">
        <f t="shared" si="106"/>
        <v>2586618</v>
      </c>
      <c r="J113" s="59">
        <f t="shared" si="106"/>
        <v>3867062</v>
      </c>
      <c r="K113" s="59">
        <f t="shared" si="106"/>
        <v>4044946.852</v>
      </c>
      <c r="L113" s="59">
        <f t="shared" si="106"/>
        <v>886618</v>
      </c>
      <c r="M113" s="59">
        <f t="shared" si="106"/>
        <v>0</v>
      </c>
      <c r="N113" s="59">
        <f t="shared" si="106"/>
        <v>1700000</v>
      </c>
      <c r="O113" s="76"/>
      <c r="P113" s="76"/>
    </row>
    <row r="114" spans="1:16" ht="13.5" thickTop="1" x14ac:dyDescent="0.3">
      <c r="A114" s="60"/>
      <c r="B114" s="61"/>
      <c r="C114" s="62"/>
      <c r="D114" s="62"/>
      <c r="E114" s="53">
        <f t="shared" si="61"/>
        <v>0</v>
      </c>
      <c r="F114" s="53"/>
      <c r="G114" s="53"/>
      <c r="H114" s="170"/>
      <c r="I114" s="53"/>
      <c r="J114" s="53"/>
      <c r="K114" s="62"/>
      <c r="L114" s="53"/>
      <c r="M114" s="53"/>
      <c r="N114" s="53"/>
    </row>
    <row r="115" spans="1:16" x14ac:dyDescent="0.3">
      <c r="A115" s="51" t="s">
        <v>79</v>
      </c>
      <c r="B115" s="52"/>
      <c r="C115" s="53"/>
      <c r="D115" s="53"/>
      <c r="E115" s="53">
        <f t="shared" si="61"/>
        <v>0</v>
      </c>
      <c r="F115" s="53"/>
      <c r="G115" s="53"/>
      <c r="H115" s="170"/>
      <c r="I115" s="53"/>
      <c r="J115" s="53"/>
      <c r="K115" s="53"/>
      <c r="L115" s="53"/>
      <c r="M115" s="53"/>
      <c r="N115" s="53"/>
    </row>
    <row r="116" spans="1:16" x14ac:dyDescent="0.3">
      <c r="A116" s="52"/>
      <c r="B116" s="52" t="s">
        <v>185</v>
      </c>
      <c r="C116" s="53">
        <v>0</v>
      </c>
      <c r="D116" s="53"/>
      <c r="E116" s="53">
        <f t="shared" si="61"/>
        <v>0</v>
      </c>
      <c r="F116" s="53"/>
      <c r="G116" s="53">
        <f t="shared" ref="G116:G124" si="107">E116+F116</f>
        <v>0</v>
      </c>
      <c r="H116" s="170"/>
      <c r="I116" s="69">
        <f t="shared" ref="I116:I124" si="108">G116+H116</f>
        <v>0</v>
      </c>
      <c r="J116" s="53">
        <f>C116*105.4%</f>
        <v>0</v>
      </c>
      <c r="K116" s="53">
        <f t="shared" ref="K116" si="109">J116*106.5%</f>
        <v>0</v>
      </c>
      <c r="L116" s="53"/>
      <c r="M116" s="53"/>
      <c r="N116" s="53">
        <f t="shared" ref="N116:N124" si="110">I116-L116-M116</f>
        <v>0</v>
      </c>
    </row>
    <row r="117" spans="1:16" x14ac:dyDescent="0.3">
      <c r="A117" s="52"/>
      <c r="B117" s="52" t="s">
        <v>176</v>
      </c>
      <c r="C117" s="53">
        <v>0</v>
      </c>
      <c r="D117" s="53"/>
      <c r="E117" s="53">
        <f t="shared" si="61"/>
        <v>0</v>
      </c>
      <c r="F117" s="53"/>
      <c r="G117" s="53">
        <f t="shared" si="107"/>
        <v>0</v>
      </c>
      <c r="H117" s="170"/>
      <c r="I117" s="69">
        <f t="shared" si="108"/>
        <v>0</v>
      </c>
      <c r="J117" s="53">
        <f t="shared" ref="J117:J124" si="111">C117*104.6%</f>
        <v>0</v>
      </c>
      <c r="K117" s="53">
        <f t="shared" ref="K117" si="112">J117*104.6%</f>
        <v>0</v>
      </c>
      <c r="L117" s="53"/>
      <c r="M117" s="53"/>
      <c r="N117" s="53">
        <f t="shared" si="110"/>
        <v>0</v>
      </c>
    </row>
    <row r="118" spans="1:16" x14ac:dyDescent="0.3">
      <c r="A118" s="52"/>
      <c r="B118" s="52" t="s">
        <v>182</v>
      </c>
      <c r="C118" s="53">
        <v>0</v>
      </c>
      <c r="D118" s="53"/>
      <c r="E118" s="53">
        <f t="shared" si="61"/>
        <v>0</v>
      </c>
      <c r="F118" s="53"/>
      <c r="G118" s="53">
        <f t="shared" si="107"/>
        <v>0</v>
      </c>
      <c r="H118" s="170"/>
      <c r="I118" s="69">
        <f t="shared" si="108"/>
        <v>0</v>
      </c>
      <c r="J118" s="53">
        <f t="shared" si="111"/>
        <v>0</v>
      </c>
      <c r="K118" s="53">
        <f t="shared" ref="K118" si="113">J118*104.6%</f>
        <v>0</v>
      </c>
      <c r="L118" s="53"/>
      <c r="M118" s="53"/>
      <c r="N118" s="53">
        <f t="shared" si="110"/>
        <v>0</v>
      </c>
    </row>
    <row r="119" spans="1:16" x14ac:dyDescent="0.3">
      <c r="A119" s="52"/>
      <c r="B119" s="52" t="s">
        <v>59</v>
      </c>
      <c r="C119" s="53">
        <v>0</v>
      </c>
      <c r="D119" s="53"/>
      <c r="E119" s="53">
        <f t="shared" si="61"/>
        <v>0</v>
      </c>
      <c r="F119" s="53"/>
      <c r="G119" s="53">
        <f t="shared" si="107"/>
        <v>0</v>
      </c>
      <c r="H119" s="170"/>
      <c r="I119" s="69">
        <f t="shared" si="108"/>
        <v>0</v>
      </c>
      <c r="J119" s="53">
        <f t="shared" si="111"/>
        <v>0</v>
      </c>
      <c r="K119" s="53">
        <f t="shared" ref="K119" si="114">J119*104.6%</f>
        <v>0</v>
      </c>
      <c r="L119" s="53"/>
      <c r="M119" s="53"/>
      <c r="N119" s="53">
        <f t="shared" si="110"/>
        <v>0</v>
      </c>
    </row>
    <row r="120" spans="1:16" x14ac:dyDescent="0.3">
      <c r="A120" s="52"/>
      <c r="B120" s="52" t="s">
        <v>168</v>
      </c>
      <c r="C120" s="53">
        <v>0</v>
      </c>
      <c r="D120" s="53"/>
      <c r="E120" s="53">
        <f t="shared" si="61"/>
        <v>0</v>
      </c>
      <c r="F120" s="53"/>
      <c r="G120" s="53">
        <f t="shared" si="107"/>
        <v>0</v>
      </c>
      <c r="H120" s="170"/>
      <c r="I120" s="69">
        <f t="shared" si="108"/>
        <v>0</v>
      </c>
      <c r="J120" s="53">
        <f t="shared" si="111"/>
        <v>0</v>
      </c>
      <c r="K120" s="53">
        <f t="shared" ref="K120" si="115">J120*104.6%</f>
        <v>0</v>
      </c>
      <c r="L120" s="53"/>
      <c r="M120" s="53"/>
      <c r="N120" s="53">
        <f t="shared" si="110"/>
        <v>0</v>
      </c>
    </row>
    <row r="121" spans="1:16" x14ac:dyDescent="0.3">
      <c r="A121" s="52"/>
      <c r="B121" s="52" t="s">
        <v>173</v>
      </c>
      <c r="C121" s="53">
        <v>0</v>
      </c>
      <c r="D121" s="53"/>
      <c r="E121" s="53">
        <f t="shared" si="61"/>
        <v>0</v>
      </c>
      <c r="F121" s="53"/>
      <c r="G121" s="53">
        <f t="shared" si="107"/>
        <v>0</v>
      </c>
      <c r="H121" s="170"/>
      <c r="I121" s="69">
        <f t="shared" si="108"/>
        <v>0</v>
      </c>
      <c r="J121" s="53">
        <f t="shared" si="111"/>
        <v>0</v>
      </c>
      <c r="K121" s="53">
        <f t="shared" ref="K121" si="116">J121*104.6%</f>
        <v>0</v>
      </c>
      <c r="L121" s="53"/>
      <c r="M121" s="53"/>
      <c r="N121" s="53">
        <f t="shared" si="110"/>
        <v>0</v>
      </c>
    </row>
    <row r="122" spans="1:16" x14ac:dyDescent="0.3">
      <c r="A122" s="52"/>
      <c r="B122" s="52" t="s">
        <v>192</v>
      </c>
      <c r="C122" s="53">
        <v>0</v>
      </c>
      <c r="D122" s="53"/>
      <c r="E122" s="53">
        <f t="shared" si="61"/>
        <v>0</v>
      </c>
      <c r="F122" s="53"/>
      <c r="G122" s="53">
        <f t="shared" si="107"/>
        <v>0</v>
      </c>
      <c r="H122" s="170"/>
      <c r="I122" s="69">
        <f t="shared" si="108"/>
        <v>0</v>
      </c>
      <c r="J122" s="53">
        <f t="shared" si="111"/>
        <v>0</v>
      </c>
      <c r="K122" s="53">
        <f t="shared" ref="K122" si="117">J122*104.6%</f>
        <v>0</v>
      </c>
      <c r="L122" s="53"/>
      <c r="M122" s="53"/>
      <c r="N122" s="53">
        <f t="shared" si="110"/>
        <v>0</v>
      </c>
    </row>
    <row r="123" spans="1:16" x14ac:dyDescent="0.3">
      <c r="A123" s="52"/>
      <c r="B123" s="52" t="s">
        <v>57</v>
      </c>
      <c r="C123" s="53">
        <v>0</v>
      </c>
      <c r="D123" s="53"/>
      <c r="E123" s="53">
        <f t="shared" si="61"/>
        <v>0</v>
      </c>
      <c r="F123" s="53"/>
      <c r="G123" s="53">
        <f t="shared" si="107"/>
        <v>0</v>
      </c>
      <c r="H123" s="170"/>
      <c r="I123" s="69">
        <f t="shared" si="108"/>
        <v>0</v>
      </c>
      <c r="J123" s="53">
        <f t="shared" si="111"/>
        <v>0</v>
      </c>
      <c r="K123" s="53">
        <f t="shared" ref="K123" si="118">J123*104.6%</f>
        <v>0</v>
      </c>
      <c r="L123" s="53"/>
      <c r="M123" s="53"/>
      <c r="N123" s="53">
        <f t="shared" si="110"/>
        <v>0</v>
      </c>
    </row>
    <row r="124" spans="1:16" ht="13.5" thickBot="1" x14ac:dyDescent="0.35">
      <c r="A124" s="52"/>
      <c r="B124" s="52" t="s">
        <v>179</v>
      </c>
      <c r="C124" s="53">
        <v>0</v>
      </c>
      <c r="D124" s="53"/>
      <c r="E124" s="53">
        <f t="shared" si="61"/>
        <v>0</v>
      </c>
      <c r="F124" s="53"/>
      <c r="G124" s="53">
        <f t="shared" si="107"/>
        <v>0</v>
      </c>
      <c r="H124" s="170"/>
      <c r="I124" s="69">
        <f t="shared" si="108"/>
        <v>0</v>
      </c>
      <c r="J124" s="53">
        <f t="shared" si="111"/>
        <v>0</v>
      </c>
      <c r="K124" s="53">
        <f t="shared" ref="K124" si="119">J124*104.6%</f>
        <v>0</v>
      </c>
      <c r="L124" s="53"/>
      <c r="M124" s="53"/>
      <c r="N124" s="53">
        <f t="shared" si="110"/>
        <v>0</v>
      </c>
    </row>
    <row r="125" spans="1:16" s="77" customFormat="1" ht="13.5" thickBot="1" x14ac:dyDescent="0.35">
      <c r="A125" s="57" t="s">
        <v>203</v>
      </c>
      <c r="B125" s="57"/>
      <c r="C125" s="57"/>
      <c r="D125" s="57"/>
      <c r="E125" s="192">
        <f t="shared" ref="E125:F125" si="120">SUM(E116:E124)</f>
        <v>0</v>
      </c>
      <c r="F125" s="192">
        <f t="shared" si="120"/>
        <v>0</v>
      </c>
      <c r="G125" s="192">
        <f>SUM(G116:G124)</f>
        <v>0</v>
      </c>
      <c r="H125" s="194">
        <f t="shared" ref="H125:N125" si="121">SUM(H116:H124)</f>
        <v>0</v>
      </c>
      <c r="I125" s="192">
        <f t="shared" si="121"/>
        <v>0</v>
      </c>
      <c r="J125" s="192">
        <f t="shared" si="121"/>
        <v>0</v>
      </c>
      <c r="K125" s="192">
        <f t="shared" si="121"/>
        <v>0</v>
      </c>
      <c r="L125" s="192">
        <f t="shared" si="121"/>
        <v>0</v>
      </c>
      <c r="M125" s="192">
        <f t="shared" si="121"/>
        <v>0</v>
      </c>
      <c r="N125" s="192">
        <f t="shared" si="121"/>
        <v>0</v>
      </c>
      <c r="O125" s="76"/>
      <c r="P125" s="76"/>
    </row>
    <row r="126" spans="1:16" s="77" customFormat="1" ht="14" thickTop="1" thickBot="1" x14ac:dyDescent="0.35">
      <c r="A126" s="74"/>
      <c r="B126" s="74"/>
      <c r="C126" s="80"/>
      <c r="D126" s="80"/>
      <c r="E126" s="53">
        <f t="shared" si="61"/>
        <v>0</v>
      </c>
      <c r="F126" s="79"/>
      <c r="G126" s="79"/>
      <c r="H126" s="174"/>
      <c r="I126" s="79"/>
      <c r="J126" s="80"/>
      <c r="K126" s="80"/>
      <c r="L126" s="67"/>
      <c r="M126" s="67"/>
      <c r="N126" s="67"/>
      <c r="O126" s="76"/>
      <c r="P126" s="76"/>
    </row>
    <row r="127" spans="1:16" s="77" customFormat="1" ht="13.5" thickBot="1" x14ac:dyDescent="0.35">
      <c r="A127" s="70" t="s">
        <v>689</v>
      </c>
      <c r="B127" s="70"/>
      <c r="C127" s="72">
        <f>C125+C113</f>
        <v>3697000</v>
      </c>
      <c r="D127" s="72">
        <f t="shared" ref="D127:N127" si="122">D125+D113</f>
        <v>0</v>
      </c>
      <c r="E127" s="72">
        <f t="shared" si="122"/>
        <v>3697000</v>
      </c>
      <c r="F127" s="72">
        <f t="shared" si="122"/>
        <v>1500000</v>
      </c>
      <c r="G127" s="72">
        <f t="shared" si="122"/>
        <v>5197000</v>
      </c>
      <c r="H127" s="177">
        <f t="shared" si="122"/>
        <v>-2610382</v>
      </c>
      <c r="I127" s="72">
        <f t="shared" si="122"/>
        <v>2586618</v>
      </c>
      <c r="J127" s="72">
        <f t="shared" si="122"/>
        <v>3867062</v>
      </c>
      <c r="K127" s="72">
        <f t="shared" si="122"/>
        <v>4044946.852</v>
      </c>
      <c r="L127" s="72">
        <f t="shared" si="122"/>
        <v>886618</v>
      </c>
      <c r="M127" s="72">
        <f t="shared" si="122"/>
        <v>0</v>
      </c>
      <c r="N127" s="72">
        <f t="shared" si="122"/>
        <v>1700000</v>
      </c>
      <c r="O127" s="76"/>
      <c r="P127" s="76"/>
    </row>
    <row r="128" spans="1:16" s="77" customFormat="1" ht="13.5" thickTop="1" x14ac:dyDescent="0.3">
      <c r="A128" s="60"/>
      <c r="B128" s="60"/>
      <c r="C128" s="78"/>
      <c r="D128" s="78"/>
      <c r="E128" s="53">
        <f t="shared" si="61"/>
        <v>0</v>
      </c>
      <c r="F128" s="62"/>
      <c r="G128" s="62"/>
      <c r="H128" s="172"/>
      <c r="I128" s="62"/>
      <c r="J128" s="78"/>
      <c r="K128" s="78"/>
      <c r="L128" s="67"/>
      <c r="M128" s="67"/>
      <c r="N128" s="67"/>
      <c r="O128" s="76"/>
      <c r="P128" s="76"/>
    </row>
    <row r="129" spans="1:16" s="77" customFormat="1" x14ac:dyDescent="0.3">
      <c r="A129" s="51" t="s">
        <v>690</v>
      </c>
      <c r="B129" s="51"/>
      <c r="C129" s="67"/>
      <c r="D129" s="67"/>
      <c r="E129" s="53">
        <f t="shared" si="61"/>
        <v>0</v>
      </c>
      <c r="F129" s="53"/>
      <c r="G129" s="53"/>
      <c r="H129" s="170"/>
      <c r="I129" s="53"/>
      <c r="J129" s="67"/>
      <c r="K129" s="67"/>
      <c r="L129" s="67"/>
      <c r="M129" s="67"/>
      <c r="N129" s="67"/>
      <c r="O129" s="76"/>
      <c r="P129" s="76"/>
    </row>
    <row r="130" spans="1:16" s="77" customFormat="1" x14ac:dyDescent="0.3">
      <c r="A130" s="51"/>
      <c r="B130" s="51"/>
      <c r="C130" s="67"/>
      <c r="D130" s="67"/>
      <c r="E130" s="53">
        <f t="shared" si="61"/>
        <v>0</v>
      </c>
      <c r="F130" s="53"/>
      <c r="G130" s="53"/>
      <c r="H130" s="170"/>
      <c r="I130" s="53"/>
      <c r="J130" s="67"/>
      <c r="K130" s="67"/>
      <c r="L130" s="67"/>
      <c r="M130" s="67"/>
      <c r="N130" s="67"/>
      <c r="O130" s="76"/>
      <c r="P130" s="76"/>
    </row>
    <row r="131" spans="1:16" s="77" customFormat="1" x14ac:dyDescent="0.3">
      <c r="A131" s="51" t="s">
        <v>75</v>
      </c>
      <c r="B131" s="51"/>
      <c r="C131" s="67"/>
      <c r="D131" s="67"/>
      <c r="E131" s="53">
        <f t="shared" si="61"/>
        <v>0</v>
      </c>
      <c r="F131" s="53"/>
      <c r="G131" s="53"/>
      <c r="H131" s="170"/>
      <c r="I131" s="53"/>
      <c r="J131" s="67"/>
      <c r="K131" s="67"/>
      <c r="L131" s="67"/>
      <c r="M131" s="67"/>
      <c r="N131" s="67"/>
      <c r="O131" s="76"/>
      <c r="P131" s="76"/>
    </row>
    <row r="132" spans="1:16" s="77" customFormat="1" x14ac:dyDescent="0.3">
      <c r="A132" s="51"/>
      <c r="B132" s="51"/>
      <c r="C132" s="67"/>
      <c r="D132" s="67"/>
      <c r="E132" s="53">
        <f t="shared" si="61"/>
        <v>0</v>
      </c>
      <c r="F132" s="53"/>
      <c r="G132" s="53"/>
      <c r="H132" s="170"/>
      <c r="I132" s="53"/>
      <c r="J132" s="67"/>
      <c r="K132" s="67"/>
      <c r="L132" s="67"/>
      <c r="M132" s="67"/>
      <c r="N132" s="67"/>
      <c r="O132" s="76"/>
      <c r="P132" s="76"/>
    </row>
    <row r="133" spans="1:16" s="77" customFormat="1" x14ac:dyDescent="0.3">
      <c r="A133" s="51" t="s">
        <v>721</v>
      </c>
      <c r="B133" s="51"/>
      <c r="C133" s="67"/>
      <c r="D133" s="67"/>
      <c r="E133" s="53">
        <f t="shared" si="61"/>
        <v>0</v>
      </c>
      <c r="F133" s="53"/>
      <c r="G133" s="53"/>
      <c r="H133" s="170"/>
      <c r="I133" s="53"/>
      <c r="J133" s="67"/>
      <c r="K133" s="67"/>
      <c r="L133" s="67"/>
      <c r="M133" s="67"/>
      <c r="N133" s="67"/>
      <c r="O133" s="76"/>
      <c r="P133" s="76"/>
    </row>
    <row r="134" spans="1:16" s="77" customFormat="1" x14ac:dyDescent="0.3">
      <c r="A134" s="52" t="s">
        <v>1166</v>
      </c>
      <c r="B134" s="52" t="s">
        <v>722</v>
      </c>
      <c r="C134" s="53">
        <v>-100000</v>
      </c>
      <c r="D134" s="53"/>
      <c r="E134" s="53">
        <f t="shared" si="61"/>
        <v>-100000</v>
      </c>
      <c r="F134" s="53"/>
      <c r="G134" s="53">
        <f>E134+F134</f>
        <v>-100000</v>
      </c>
      <c r="H134" s="170">
        <v>66521.700000000012</v>
      </c>
      <c r="I134" s="69">
        <f>G134+H134</f>
        <v>-33478.299999999988</v>
      </c>
      <c r="J134" s="53">
        <f>C134*104.6%</f>
        <v>-104600</v>
      </c>
      <c r="K134" s="53">
        <f t="shared" ref="K134" si="123">J134*104.6%</f>
        <v>-109411.6</v>
      </c>
      <c r="L134" s="67">
        <v>-20086.980000000003</v>
      </c>
      <c r="M134" s="67"/>
      <c r="N134" s="53">
        <f>I134-L134-M134</f>
        <v>-13391.319999999985</v>
      </c>
      <c r="O134" s="76"/>
      <c r="P134" s="76"/>
    </row>
    <row r="135" spans="1:16" s="77" customFormat="1" ht="13.5" thickBot="1" x14ac:dyDescent="0.35">
      <c r="A135" s="56"/>
      <c r="B135" s="55"/>
      <c r="C135" s="83"/>
      <c r="D135" s="83"/>
      <c r="E135" s="53">
        <f t="shared" si="61"/>
        <v>0</v>
      </c>
      <c r="F135" s="69"/>
      <c r="G135" s="69"/>
      <c r="H135" s="173"/>
      <c r="I135" s="69"/>
      <c r="J135" s="83"/>
      <c r="K135" s="83"/>
      <c r="L135" s="67"/>
      <c r="M135" s="67"/>
      <c r="N135" s="67"/>
      <c r="O135" s="76"/>
      <c r="P135" s="76"/>
    </row>
    <row r="136" spans="1:16" s="77" customFormat="1" ht="13.5" thickBot="1" x14ac:dyDescent="0.35">
      <c r="A136" s="57" t="s">
        <v>723</v>
      </c>
      <c r="B136" s="57"/>
      <c r="C136" s="59">
        <f>SUM(C134:C135)</f>
        <v>-100000</v>
      </c>
      <c r="D136" s="59">
        <f t="shared" ref="D136:N136" si="124">SUM(D134:D135)</f>
        <v>0</v>
      </c>
      <c r="E136" s="59">
        <f t="shared" si="124"/>
        <v>-100000</v>
      </c>
      <c r="F136" s="59">
        <f t="shared" si="124"/>
        <v>0</v>
      </c>
      <c r="G136" s="59">
        <f t="shared" si="124"/>
        <v>-100000</v>
      </c>
      <c r="H136" s="171">
        <f t="shared" si="124"/>
        <v>66521.700000000012</v>
      </c>
      <c r="I136" s="59">
        <f t="shared" si="124"/>
        <v>-33478.299999999988</v>
      </c>
      <c r="J136" s="59">
        <f t="shared" si="124"/>
        <v>-104600</v>
      </c>
      <c r="K136" s="59">
        <f t="shared" si="124"/>
        <v>-109411.6</v>
      </c>
      <c r="L136" s="59">
        <f t="shared" si="124"/>
        <v>-20086.980000000003</v>
      </c>
      <c r="M136" s="59">
        <f t="shared" si="124"/>
        <v>0</v>
      </c>
      <c r="N136" s="59">
        <f t="shared" si="124"/>
        <v>-13391.319999999985</v>
      </c>
      <c r="O136" s="76"/>
      <c r="P136" s="76"/>
    </row>
    <row r="137" spans="1:16" s="77" customFormat="1" ht="13.5" thickTop="1" x14ac:dyDescent="0.3">
      <c r="A137" s="60"/>
      <c r="B137" s="60"/>
      <c r="C137" s="78"/>
      <c r="D137" s="78"/>
      <c r="E137" s="53">
        <f t="shared" si="61"/>
        <v>0</v>
      </c>
      <c r="F137" s="62"/>
      <c r="G137" s="62"/>
      <c r="H137" s="172"/>
      <c r="I137" s="62"/>
      <c r="J137" s="78"/>
      <c r="K137" s="78"/>
      <c r="L137" s="67"/>
      <c r="M137" s="67"/>
      <c r="N137" s="67"/>
      <c r="O137" s="76"/>
      <c r="P137" s="76"/>
    </row>
    <row r="138" spans="1:16" s="77" customFormat="1" x14ac:dyDescent="0.3">
      <c r="A138" s="51" t="s">
        <v>460</v>
      </c>
      <c r="B138" s="51"/>
      <c r="C138" s="67"/>
      <c r="D138" s="67"/>
      <c r="E138" s="53">
        <f t="shared" ref="E138:E215" si="125">C138+D138</f>
        <v>0</v>
      </c>
      <c r="F138" s="53"/>
      <c r="G138" s="53"/>
      <c r="H138" s="170"/>
      <c r="I138" s="53"/>
      <c r="J138" s="67"/>
      <c r="K138" s="67"/>
      <c r="L138" s="67"/>
      <c r="M138" s="67"/>
      <c r="N138" s="67"/>
      <c r="O138" s="76"/>
      <c r="P138" s="76"/>
    </row>
    <row r="139" spans="1:16" s="77" customFormat="1" x14ac:dyDescent="0.3">
      <c r="A139" s="51"/>
      <c r="B139" s="51"/>
      <c r="C139" s="67"/>
      <c r="D139" s="67"/>
      <c r="E139" s="53">
        <f t="shared" si="125"/>
        <v>0</v>
      </c>
      <c r="F139" s="53"/>
      <c r="G139" s="53"/>
      <c r="H139" s="170"/>
      <c r="I139" s="53"/>
      <c r="J139" s="67"/>
      <c r="K139" s="67"/>
      <c r="L139" s="67"/>
      <c r="M139" s="67"/>
      <c r="N139" s="67"/>
      <c r="O139" s="76"/>
      <c r="P139" s="76"/>
    </row>
    <row r="140" spans="1:16" s="77" customFormat="1" x14ac:dyDescent="0.3">
      <c r="A140" s="52" t="s">
        <v>665</v>
      </c>
      <c r="B140" s="52" t="s">
        <v>141</v>
      </c>
      <c r="C140" s="53">
        <v>950000</v>
      </c>
      <c r="D140" s="53"/>
      <c r="E140" s="53">
        <f t="shared" si="125"/>
        <v>950000</v>
      </c>
      <c r="F140" s="53"/>
      <c r="G140" s="53">
        <f>E140+F140</f>
        <v>950000</v>
      </c>
      <c r="H140" s="170">
        <f>(60000)+147166.68</f>
        <v>207166.68</v>
      </c>
      <c r="I140" s="69">
        <f>G140+H140</f>
        <v>1157166.68</v>
      </c>
      <c r="J140" s="53">
        <f>C140*104.6%</f>
        <v>993700</v>
      </c>
      <c r="K140" s="53">
        <f t="shared" ref="K140" si="126">J140*104.6%</f>
        <v>1039410.2000000001</v>
      </c>
      <c r="L140" s="67">
        <v>677166.67999999993</v>
      </c>
      <c r="M140" s="67"/>
      <c r="N140" s="53">
        <f>I140-L140-M140</f>
        <v>480000</v>
      </c>
      <c r="O140" s="76"/>
      <c r="P140" s="76"/>
    </row>
    <row r="141" spans="1:16" s="77" customFormat="1" ht="13.5" thickBot="1" x14ac:dyDescent="0.35">
      <c r="A141" s="55"/>
      <c r="B141" s="55"/>
      <c r="C141" s="83"/>
      <c r="D141" s="83"/>
      <c r="E141" s="53">
        <f t="shared" si="125"/>
        <v>0</v>
      </c>
      <c r="F141" s="69"/>
      <c r="G141" s="69"/>
      <c r="H141" s="173"/>
      <c r="I141" s="69"/>
      <c r="J141" s="69">
        <f>C141*104.6%</f>
        <v>0</v>
      </c>
      <c r="K141" s="69">
        <f t="shared" ref="K141" si="127">J141*104.6%</f>
        <v>0</v>
      </c>
      <c r="L141" s="67"/>
      <c r="M141" s="67"/>
      <c r="N141" s="67"/>
      <c r="O141" s="76"/>
      <c r="P141" s="76"/>
    </row>
    <row r="142" spans="1:16" s="77" customFormat="1" ht="13.5" thickBot="1" x14ac:dyDescent="0.35">
      <c r="A142" s="57" t="s">
        <v>678</v>
      </c>
      <c r="B142" s="57"/>
      <c r="C142" s="59">
        <f>SUM(C140:C141)</f>
        <v>950000</v>
      </c>
      <c r="D142" s="59">
        <f t="shared" ref="D142:N142" si="128">SUM(D140:D141)</f>
        <v>0</v>
      </c>
      <c r="E142" s="59">
        <f t="shared" si="128"/>
        <v>950000</v>
      </c>
      <c r="F142" s="59">
        <f t="shared" si="128"/>
        <v>0</v>
      </c>
      <c r="G142" s="59">
        <f t="shared" si="128"/>
        <v>950000</v>
      </c>
      <c r="H142" s="171">
        <f t="shared" si="128"/>
        <v>207166.68</v>
      </c>
      <c r="I142" s="59">
        <f t="shared" si="128"/>
        <v>1157166.68</v>
      </c>
      <c r="J142" s="59">
        <f t="shared" si="128"/>
        <v>993700</v>
      </c>
      <c r="K142" s="59">
        <f t="shared" si="128"/>
        <v>1039410.2000000001</v>
      </c>
      <c r="L142" s="59">
        <f t="shared" si="128"/>
        <v>677166.67999999993</v>
      </c>
      <c r="M142" s="59">
        <f t="shared" si="128"/>
        <v>0</v>
      </c>
      <c r="N142" s="59">
        <f t="shared" si="128"/>
        <v>480000</v>
      </c>
      <c r="O142" s="76"/>
      <c r="P142" s="76"/>
    </row>
    <row r="143" spans="1:16" s="77" customFormat="1" ht="13.5" thickTop="1" x14ac:dyDescent="0.3">
      <c r="A143" s="60"/>
      <c r="B143" s="60"/>
      <c r="C143" s="78"/>
      <c r="D143" s="78"/>
      <c r="E143" s="53">
        <f t="shared" si="125"/>
        <v>0</v>
      </c>
      <c r="F143" s="62"/>
      <c r="G143" s="62"/>
      <c r="H143" s="172"/>
      <c r="I143" s="62"/>
      <c r="J143" s="62">
        <f t="shared" ref="J143:J154" si="129">C143*104.6%</f>
        <v>0</v>
      </c>
      <c r="K143" s="62">
        <f t="shared" ref="K143" si="130">J143*104.6%</f>
        <v>0</v>
      </c>
      <c r="L143" s="67"/>
      <c r="M143" s="67"/>
      <c r="N143" s="67"/>
      <c r="O143" s="76"/>
      <c r="P143" s="76"/>
    </row>
    <row r="144" spans="1:16" s="77" customFormat="1" x14ac:dyDescent="0.3">
      <c r="A144" s="51" t="s">
        <v>79</v>
      </c>
      <c r="B144" s="52"/>
      <c r="C144" s="67"/>
      <c r="D144" s="67"/>
      <c r="E144" s="53">
        <f t="shared" si="125"/>
        <v>0</v>
      </c>
      <c r="F144" s="53"/>
      <c r="G144" s="53"/>
      <c r="H144" s="170"/>
      <c r="I144" s="53"/>
      <c r="J144" s="53">
        <f t="shared" si="129"/>
        <v>0</v>
      </c>
      <c r="K144" s="53">
        <f t="shared" ref="K144" si="131">J144*104.6%</f>
        <v>0</v>
      </c>
      <c r="L144" s="67"/>
      <c r="M144" s="67"/>
      <c r="N144" s="67"/>
      <c r="O144" s="76"/>
      <c r="P144" s="76"/>
    </row>
    <row r="145" spans="1:16" s="77" customFormat="1" x14ac:dyDescent="0.3">
      <c r="A145" s="52"/>
      <c r="B145" s="52" t="s">
        <v>185</v>
      </c>
      <c r="C145" s="67">
        <v>0</v>
      </c>
      <c r="D145" s="67"/>
      <c r="E145" s="53">
        <f t="shared" si="125"/>
        <v>0</v>
      </c>
      <c r="F145" s="53"/>
      <c r="G145" s="53"/>
      <c r="H145" s="170"/>
      <c r="I145" s="69">
        <f t="shared" ref="I145:I153" si="132">G145+H145</f>
        <v>0</v>
      </c>
      <c r="J145" s="53">
        <f t="shared" si="129"/>
        <v>0</v>
      </c>
      <c r="K145" s="53">
        <f t="shared" ref="K145" si="133">J145*104.6%</f>
        <v>0</v>
      </c>
      <c r="L145" s="67"/>
      <c r="M145" s="67"/>
      <c r="N145" s="53">
        <f t="shared" ref="N145:N153" si="134">I145-L145-M145</f>
        <v>0</v>
      </c>
      <c r="O145" s="76"/>
      <c r="P145" s="76"/>
    </row>
    <row r="146" spans="1:16" s="77" customFormat="1" x14ac:dyDescent="0.3">
      <c r="A146" s="52"/>
      <c r="B146" s="52" t="s">
        <v>176</v>
      </c>
      <c r="C146" s="67">
        <v>0</v>
      </c>
      <c r="D146" s="67"/>
      <c r="E146" s="53">
        <f t="shared" si="125"/>
        <v>0</v>
      </c>
      <c r="F146" s="53"/>
      <c r="G146" s="53"/>
      <c r="H146" s="170"/>
      <c r="I146" s="69">
        <f t="shared" si="132"/>
        <v>0</v>
      </c>
      <c r="J146" s="53">
        <f t="shared" si="129"/>
        <v>0</v>
      </c>
      <c r="K146" s="53">
        <f t="shared" ref="K146" si="135">J146*104.6%</f>
        <v>0</v>
      </c>
      <c r="L146" s="67"/>
      <c r="M146" s="67"/>
      <c r="N146" s="53">
        <f t="shared" si="134"/>
        <v>0</v>
      </c>
      <c r="O146" s="76"/>
      <c r="P146" s="76"/>
    </row>
    <row r="147" spans="1:16" s="77" customFormat="1" x14ac:dyDescent="0.3">
      <c r="A147" s="52"/>
      <c r="B147" s="52" t="s">
        <v>182</v>
      </c>
      <c r="C147" s="67">
        <v>0</v>
      </c>
      <c r="D147" s="67"/>
      <c r="E147" s="53">
        <f t="shared" si="125"/>
        <v>0</v>
      </c>
      <c r="F147" s="53"/>
      <c r="G147" s="53"/>
      <c r="H147" s="170"/>
      <c r="I147" s="69">
        <f t="shared" si="132"/>
        <v>0</v>
      </c>
      <c r="J147" s="53">
        <f t="shared" si="129"/>
        <v>0</v>
      </c>
      <c r="K147" s="53">
        <f t="shared" ref="K147" si="136">J147*104.6%</f>
        <v>0</v>
      </c>
      <c r="L147" s="67"/>
      <c r="M147" s="67"/>
      <c r="N147" s="53">
        <f t="shared" si="134"/>
        <v>0</v>
      </c>
      <c r="O147" s="76"/>
      <c r="P147" s="76"/>
    </row>
    <row r="148" spans="1:16" s="77" customFormat="1" x14ac:dyDescent="0.3">
      <c r="A148" s="52"/>
      <c r="B148" s="52" t="s">
        <v>59</v>
      </c>
      <c r="C148" s="67">
        <v>0</v>
      </c>
      <c r="D148" s="67"/>
      <c r="E148" s="53">
        <f t="shared" si="125"/>
        <v>0</v>
      </c>
      <c r="F148" s="53"/>
      <c r="G148" s="53"/>
      <c r="H148" s="170"/>
      <c r="I148" s="69">
        <f t="shared" si="132"/>
        <v>0</v>
      </c>
      <c r="J148" s="53">
        <f t="shared" si="129"/>
        <v>0</v>
      </c>
      <c r="K148" s="53">
        <f t="shared" ref="K148" si="137">J148*104.6%</f>
        <v>0</v>
      </c>
      <c r="L148" s="67"/>
      <c r="M148" s="67"/>
      <c r="N148" s="53">
        <f t="shared" si="134"/>
        <v>0</v>
      </c>
      <c r="O148" s="76"/>
      <c r="P148" s="76"/>
    </row>
    <row r="149" spans="1:16" s="77" customFormat="1" x14ac:dyDescent="0.3">
      <c r="A149" s="52"/>
      <c r="B149" s="52" t="s">
        <v>168</v>
      </c>
      <c r="C149" s="67">
        <v>0</v>
      </c>
      <c r="D149" s="67"/>
      <c r="E149" s="53">
        <f t="shared" si="125"/>
        <v>0</v>
      </c>
      <c r="F149" s="53"/>
      <c r="G149" s="53"/>
      <c r="H149" s="170"/>
      <c r="I149" s="69">
        <f t="shared" si="132"/>
        <v>0</v>
      </c>
      <c r="J149" s="53">
        <f t="shared" si="129"/>
        <v>0</v>
      </c>
      <c r="K149" s="53">
        <f t="shared" ref="K149" si="138">J149*104.6%</f>
        <v>0</v>
      </c>
      <c r="L149" s="67"/>
      <c r="M149" s="67"/>
      <c r="N149" s="53">
        <f t="shared" si="134"/>
        <v>0</v>
      </c>
      <c r="O149" s="76"/>
      <c r="P149" s="76"/>
    </row>
    <row r="150" spans="1:16" s="77" customFormat="1" x14ac:dyDescent="0.3">
      <c r="A150" s="52"/>
      <c r="B150" s="52" t="s">
        <v>173</v>
      </c>
      <c r="C150" s="67">
        <v>0</v>
      </c>
      <c r="D150" s="67"/>
      <c r="E150" s="53">
        <f t="shared" si="125"/>
        <v>0</v>
      </c>
      <c r="F150" s="53"/>
      <c r="G150" s="53"/>
      <c r="H150" s="170"/>
      <c r="I150" s="69">
        <f t="shared" si="132"/>
        <v>0</v>
      </c>
      <c r="J150" s="53">
        <f t="shared" si="129"/>
        <v>0</v>
      </c>
      <c r="K150" s="53">
        <f t="shared" ref="K150" si="139">J150*104.6%</f>
        <v>0</v>
      </c>
      <c r="L150" s="67"/>
      <c r="M150" s="67"/>
      <c r="N150" s="53">
        <f t="shared" si="134"/>
        <v>0</v>
      </c>
      <c r="O150" s="76"/>
      <c r="P150" s="76"/>
    </row>
    <row r="151" spans="1:16" s="77" customFormat="1" x14ac:dyDescent="0.3">
      <c r="A151" s="52"/>
      <c r="B151" s="52" t="s">
        <v>192</v>
      </c>
      <c r="C151" s="67">
        <v>0</v>
      </c>
      <c r="D151" s="67"/>
      <c r="E151" s="53">
        <f t="shared" si="125"/>
        <v>0</v>
      </c>
      <c r="F151" s="53"/>
      <c r="G151" s="53"/>
      <c r="H151" s="170"/>
      <c r="I151" s="69">
        <f t="shared" si="132"/>
        <v>0</v>
      </c>
      <c r="J151" s="53">
        <f t="shared" si="129"/>
        <v>0</v>
      </c>
      <c r="K151" s="53">
        <f t="shared" ref="K151" si="140">J151*104.6%</f>
        <v>0</v>
      </c>
      <c r="L151" s="67"/>
      <c r="M151" s="67"/>
      <c r="N151" s="53">
        <f t="shared" si="134"/>
        <v>0</v>
      </c>
      <c r="O151" s="76"/>
      <c r="P151" s="76"/>
    </row>
    <row r="152" spans="1:16" s="77" customFormat="1" x14ac:dyDescent="0.3">
      <c r="A152" s="52"/>
      <c r="B152" s="52" t="s">
        <v>57</v>
      </c>
      <c r="C152" s="67">
        <v>0</v>
      </c>
      <c r="D152" s="67"/>
      <c r="E152" s="53">
        <f t="shared" si="125"/>
        <v>0</v>
      </c>
      <c r="F152" s="53"/>
      <c r="G152" s="53"/>
      <c r="H152" s="170"/>
      <c r="I152" s="69">
        <f t="shared" si="132"/>
        <v>0</v>
      </c>
      <c r="J152" s="53">
        <f t="shared" si="129"/>
        <v>0</v>
      </c>
      <c r="K152" s="53">
        <f t="shared" ref="K152" si="141">J152*104.6%</f>
        <v>0</v>
      </c>
      <c r="L152" s="67"/>
      <c r="M152" s="67"/>
      <c r="N152" s="53">
        <f t="shared" si="134"/>
        <v>0</v>
      </c>
      <c r="O152" s="76"/>
      <c r="P152" s="76"/>
    </row>
    <row r="153" spans="1:16" s="77" customFormat="1" x14ac:dyDescent="0.3">
      <c r="A153" s="52"/>
      <c r="B153" s="52" t="s">
        <v>179</v>
      </c>
      <c r="C153" s="67">
        <v>0</v>
      </c>
      <c r="D153" s="67"/>
      <c r="E153" s="53">
        <f t="shared" si="125"/>
        <v>0</v>
      </c>
      <c r="F153" s="53"/>
      <c r="G153" s="53"/>
      <c r="H153" s="170"/>
      <c r="I153" s="69">
        <f t="shared" si="132"/>
        <v>0</v>
      </c>
      <c r="J153" s="53">
        <f t="shared" si="129"/>
        <v>0</v>
      </c>
      <c r="K153" s="53">
        <f t="shared" ref="K153" si="142">J153*104.6%</f>
        <v>0</v>
      </c>
      <c r="L153" s="67"/>
      <c r="M153" s="67"/>
      <c r="N153" s="53">
        <f t="shared" si="134"/>
        <v>0</v>
      </c>
      <c r="O153" s="76"/>
      <c r="P153" s="76"/>
    </row>
    <row r="154" spans="1:16" s="77" customFormat="1" ht="13.5" thickBot="1" x14ac:dyDescent="0.35">
      <c r="A154" s="55"/>
      <c r="B154" s="55"/>
      <c r="C154" s="83"/>
      <c r="D154" s="83"/>
      <c r="E154" s="69">
        <f t="shared" si="125"/>
        <v>0</v>
      </c>
      <c r="F154" s="69"/>
      <c r="G154" s="69"/>
      <c r="H154" s="173"/>
      <c r="I154" s="69"/>
      <c r="J154" s="69">
        <f t="shared" si="129"/>
        <v>0</v>
      </c>
      <c r="K154" s="69">
        <f t="shared" ref="K154" si="143">J154*104.6%</f>
        <v>0</v>
      </c>
      <c r="L154" s="83"/>
      <c r="M154" s="83"/>
      <c r="N154" s="83"/>
      <c r="O154" s="76"/>
      <c r="P154" s="76"/>
    </row>
    <row r="155" spans="1:16" s="77" customFormat="1" ht="13.5" thickBot="1" x14ac:dyDescent="0.35">
      <c r="A155" s="57" t="s">
        <v>203</v>
      </c>
      <c r="B155" s="57"/>
      <c r="C155" s="59"/>
      <c r="D155" s="59"/>
      <c r="E155" s="156">
        <f t="shared" si="125"/>
        <v>0</v>
      </c>
      <c r="F155" s="156">
        <f t="shared" ref="F155" si="144">D155+E155</f>
        <v>0</v>
      </c>
      <c r="G155" s="156">
        <f t="shared" ref="G155" si="145">E155+F155</f>
        <v>0</v>
      </c>
      <c r="H155" s="176">
        <f t="shared" ref="H155" si="146">F155+G155</f>
        <v>0</v>
      </c>
      <c r="I155" s="156">
        <f>G155+H155</f>
        <v>0</v>
      </c>
      <c r="J155" s="156">
        <f>H155+I155</f>
        <v>0</v>
      </c>
      <c r="K155" s="156">
        <f t="shared" ref="K155" si="147">I155+J155</f>
        <v>0</v>
      </c>
      <c r="L155" s="156">
        <f t="shared" ref="L155" si="148">J155+K155</f>
        <v>0</v>
      </c>
      <c r="M155" s="156"/>
      <c r="N155" s="156">
        <f t="shared" ref="N155" si="149">K155+L155</f>
        <v>0</v>
      </c>
      <c r="O155" s="76"/>
      <c r="P155" s="76"/>
    </row>
    <row r="156" spans="1:16" s="77" customFormat="1" ht="14" thickTop="1" thickBot="1" x14ac:dyDescent="0.35">
      <c r="A156" s="70" t="s">
        <v>691</v>
      </c>
      <c r="B156" s="70"/>
      <c r="C156" s="72">
        <f>C155+C142</f>
        <v>950000</v>
      </c>
      <c r="D156" s="72">
        <f>D155+D142</f>
        <v>0</v>
      </c>
      <c r="E156" s="72">
        <f>E155+E142</f>
        <v>950000</v>
      </c>
      <c r="F156" s="72">
        <f t="shared" ref="F156:N156" si="150">F155+F142</f>
        <v>0</v>
      </c>
      <c r="G156" s="72">
        <f t="shared" si="150"/>
        <v>950000</v>
      </c>
      <c r="H156" s="177">
        <f t="shared" si="150"/>
        <v>207166.68</v>
      </c>
      <c r="I156" s="72">
        <f t="shared" si="150"/>
        <v>1157166.68</v>
      </c>
      <c r="J156" s="72">
        <f t="shared" si="150"/>
        <v>993700</v>
      </c>
      <c r="K156" s="72">
        <f t="shared" si="150"/>
        <v>1039410.2000000001</v>
      </c>
      <c r="L156" s="72">
        <f t="shared" si="150"/>
        <v>677166.67999999993</v>
      </c>
      <c r="M156" s="72">
        <f t="shared" si="150"/>
        <v>0</v>
      </c>
      <c r="N156" s="72">
        <f t="shared" si="150"/>
        <v>480000</v>
      </c>
      <c r="O156" s="76"/>
      <c r="P156" s="76"/>
    </row>
    <row r="157" spans="1:16" s="77" customFormat="1" ht="13.5" thickTop="1" x14ac:dyDescent="0.3">
      <c r="A157" s="60"/>
      <c r="B157" s="60"/>
      <c r="C157" s="78"/>
      <c r="D157" s="78"/>
      <c r="E157" s="53">
        <f t="shared" si="125"/>
        <v>0</v>
      </c>
      <c r="F157" s="62"/>
      <c r="G157" s="62"/>
      <c r="H157" s="172"/>
      <c r="I157" s="62"/>
      <c r="J157" s="62">
        <f>C157*104.6%</f>
        <v>0</v>
      </c>
      <c r="K157" s="62">
        <f t="shared" ref="K157" si="151">J157*104.6%</f>
        <v>0</v>
      </c>
      <c r="L157" s="67"/>
      <c r="M157" s="67"/>
      <c r="N157" s="67"/>
      <c r="O157" s="76"/>
      <c r="P157" s="76"/>
    </row>
    <row r="158" spans="1:16" s="77" customFormat="1" x14ac:dyDescent="0.3">
      <c r="A158" s="60" t="s">
        <v>866</v>
      </c>
      <c r="B158" s="60"/>
      <c r="C158" s="78"/>
      <c r="D158" s="78"/>
      <c r="E158" s="53">
        <f t="shared" si="125"/>
        <v>0</v>
      </c>
      <c r="F158" s="62"/>
      <c r="G158" s="62"/>
      <c r="H158" s="172"/>
      <c r="I158" s="62"/>
      <c r="J158" s="62"/>
      <c r="K158" s="62"/>
      <c r="L158" s="67"/>
      <c r="M158" s="67"/>
      <c r="N158" s="67"/>
      <c r="O158" s="76"/>
      <c r="P158" s="76"/>
    </row>
    <row r="159" spans="1:16" s="77" customFormat="1" x14ac:dyDescent="0.3">
      <c r="A159" s="60"/>
      <c r="B159" s="60"/>
      <c r="C159" s="78"/>
      <c r="D159" s="78"/>
      <c r="E159" s="53">
        <f t="shared" si="125"/>
        <v>0</v>
      </c>
      <c r="F159" s="62"/>
      <c r="G159" s="62"/>
      <c r="H159" s="172"/>
      <c r="I159" s="62"/>
      <c r="J159" s="62"/>
      <c r="K159" s="62"/>
      <c r="L159" s="67"/>
      <c r="M159" s="67"/>
      <c r="N159" s="67"/>
      <c r="O159" s="76"/>
      <c r="P159" s="76"/>
    </row>
    <row r="160" spans="1:16" s="77" customFormat="1" x14ac:dyDescent="0.3">
      <c r="A160" s="50" t="s">
        <v>75</v>
      </c>
      <c r="B160" s="60"/>
      <c r="C160" s="78"/>
      <c r="D160" s="78"/>
      <c r="E160" s="53"/>
      <c r="F160" s="62"/>
      <c r="G160" s="62"/>
      <c r="H160" s="172"/>
      <c r="I160" s="62"/>
      <c r="J160" s="62"/>
      <c r="K160" s="62"/>
      <c r="L160" s="67"/>
      <c r="M160" s="67"/>
      <c r="N160" s="67"/>
      <c r="O160" s="76"/>
      <c r="P160" s="76"/>
    </row>
    <row r="161" spans="1:16" s="77" customFormat="1" x14ac:dyDescent="0.3">
      <c r="A161" s="51" t="s">
        <v>74</v>
      </c>
      <c r="B161" s="60"/>
      <c r="C161" s="78"/>
      <c r="D161" s="78"/>
      <c r="E161" s="53"/>
      <c r="F161" s="62"/>
      <c r="G161" s="62"/>
      <c r="H161" s="172"/>
      <c r="I161" s="62"/>
      <c r="J161" s="62"/>
      <c r="K161" s="62"/>
      <c r="L161" s="67"/>
      <c r="M161" s="67"/>
      <c r="N161" s="67"/>
      <c r="O161" s="76"/>
      <c r="P161" s="76"/>
    </row>
    <row r="162" spans="1:16" s="77" customFormat="1" x14ac:dyDescent="0.3">
      <c r="A162" s="74" t="s">
        <v>1316</v>
      </c>
      <c r="B162" s="73" t="s">
        <v>25</v>
      </c>
      <c r="C162" s="80"/>
      <c r="D162" s="80"/>
      <c r="E162" s="69"/>
      <c r="F162" s="79">
        <v>-29777000</v>
      </c>
      <c r="G162" s="53">
        <f>E162+F162</f>
        <v>-29777000</v>
      </c>
      <c r="H162" s="174"/>
      <c r="I162" s="69">
        <f>G162+H162</f>
        <v>-29777000</v>
      </c>
      <c r="J162" s="79"/>
      <c r="K162" s="79"/>
      <c r="L162" s="67"/>
      <c r="M162" s="67"/>
      <c r="N162" s="53">
        <f t="shared" ref="N162:N163" si="152">I162-L162-M162</f>
        <v>-29777000</v>
      </c>
      <c r="O162" s="76"/>
      <c r="P162" s="76"/>
    </row>
    <row r="163" spans="1:16" ht="13.5" thickBot="1" x14ac:dyDescent="0.35">
      <c r="A163" s="84" t="s">
        <v>1239</v>
      </c>
      <c r="B163" s="84" t="s">
        <v>1228</v>
      </c>
      <c r="C163" s="114"/>
      <c r="D163" s="114">
        <v>-745000</v>
      </c>
      <c r="E163" s="114">
        <f t="shared" si="125"/>
        <v>-745000</v>
      </c>
      <c r="F163" s="114"/>
      <c r="G163" s="53">
        <f>E163+F163</f>
        <v>-745000</v>
      </c>
      <c r="H163" s="173"/>
      <c r="I163" s="69">
        <f>G163+H163</f>
        <v>-745000</v>
      </c>
      <c r="J163" s="114"/>
      <c r="K163" s="114"/>
      <c r="L163" s="53"/>
      <c r="M163" s="53"/>
      <c r="N163" s="53">
        <f t="shared" si="152"/>
        <v>-745000</v>
      </c>
    </row>
    <row r="164" spans="1:16" ht="13.5" thickBot="1" x14ac:dyDescent="0.35">
      <c r="A164" s="57" t="s">
        <v>1229</v>
      </c>
      <c r="B164" s="57"/>
      <c r="C164" s="59">
        <f>SUM(C163)</f>
        <v>0</v>
      </c>
      <c r="D164" s="59">
        <f>SUM(D163)</f>
        <v>-745000</v>
      </c>
      <c r="E164" s="59">
        <f>SUM(E162:E163)</f>
        <v>-745000</v>
      </c>
      <c r="F164" s="59">
        <f t="shared" ref="F164:N164" si="153">SUM(F162:F163)</f>
        <v>-29777000</v>
      </c>
      <c r="G164" s="59">
        <f t="shared" si="153"/>
        <v>-30522000</v>
      </c>
      <c r="H164" s="171">
        <f t="shared" si="153"/>
        <v>0</v>
      </c>
      <c r="I164" s="59">
        <f t="shared" si="153"/>
        <v>-30522000</v>
      </c>
      <c r="J164" s="59">
        <f t="shared" si="153"/>
        <v>0</v>
      </c>
      <c r="K164" s="59">
        <f t="shared" si="153"/>
        <v>0</v>
      </c>
      <c r="L164" s="59">
        <f t="shared" si="153"/>
        <v>0</v>
      </c>
      <c r="M164" s="59">
        <f t="shared" si="153"/>
        <v>0</v>
      </c>
      <c r="N164" s="59">
        <f t="shared" si="153"/>
        <v>-30522000</v>
      </c>
    </row>
    <row r="165" spans="1:16" s="77" customFormat="1" ht="13.5" thickTop="1" x14ac:dyDescent="0.3">
      <c r="A165" s="60"/>
      <c r="B165" s="60"/>
      <c r="C165" s="78"/>
      <c r="D165" s="78"/>
      <c r="E165" s="62"/>
      <c r="F165" s="62"/>
      <c r="G165" s="62"/>
      <c r="H165" s="172"/>
      <c r="I165" s="62"/>
      <c r="J165" s="62"/>
      <c r="K165" s="62"/>
      <c r="L165" s="67"/>
      <c r="M165" s="67"/>
      <c r="N165" s="67"/>
      <c r="O165" s="76"/>
      <c r="P165" s="76"/>
    </row>
    <row r="166" spans="1:16" x14ac:dyDescent="0.3">
      <c r="A166" s="61" t="s">
        <v>1066</v>
      </c>
      <c r="B166" s="61" t="s">
        <v>865</v>
      </c>
      <c r="C166" s="62">
        <v>1000000</v>
      </c>
      <c r="D166" s="62">
        <v>-100000</v>
      </c>
      <c r="E166" s="53">
        <f t="shared" si="125"/>
        <v>900000</v>
      </c>
      <c r="F166" s="53"/>
      <c r="G166" s="53">
        <f>E166+F166</f>
        <v>900000</v>
      </c>
      <c r="H166" s="170">
        <v>107000</v>
      </c>
      <c r="I166" s="69">
        <f>G166+H166</f>
        <v>1007000</v>
      </c>
      <c r="J166" s="53">
        <f>C166*104.6%</f>
        <v>1046000</v>
      </c>
      <c r="K166" s="53">
        <f t="shared" ref="K166" si="154">J166*104.6%</f>
        <v>1094116</v>
      </c>
      <c r="L166" s="53">
        <v>534436.6</v>
      </c>
      <c r="M166" s="53">
        <v>31000</v>
      </c>
      <c r="N166" s="53">
        <f t="shared" ref="N166:N169" si="155">I166-L166-M166</f>
        <v>441563.4</v>
      </c>
    </row>
    <row r="167" spans="1:16" s="77" customFormat="1" x14ac:dyDescent="0.3">
      <c r="A167" s="52" t="s">
        <v>1238</v>
      </c>
      <c r="B167" s="52" t="s">
        <v>1230</v>
      </c>
      <c r="C167" s="67"/>
      <c r="D167" s="53">
        <v>745000</v>
      </c>
      <c r="E167" s="53">
        <f t="shared" si="125"/>
        <v>745000</v>
      </c>
      <c r="F167" s="53"/>
      <c r="G167" s="53">
        <f>E167+F167</f>
        <v>745000</v>
      </c>
      <c r="H167" s="170"/>
      <c r="I167" s="69">
        <f>G167+H167</f>
        <v>745000</v>
      </c>
      <c r="J167" s="53"/>
      <c r="K167" s="53"/>
      <c r="L167" s="67"/>
      <c r="M167" s="67"/>
      <c r="N167" s="53">
        <f t="shared" si="155"/>
        <v>745000</v>
      </c>
      <c r="O167" s="76"/>
      <c r="P167" s="76"/>
    </row>
    <row r="168" spans="1:16" s="77" customFormat="1" x14ac:dyDescent="0.3">
      <c r="A168" s="51" t="s">
        <v>1351</v>
      </c>
      <c r="B168" s="51" t="s">
        <v>1352</v>
      </c>
      <c r="C168" s="67"/>
      <c r="D168" s="67"/>
      <c r="E168" s="67"/>
      <c r="F168" s="67"/>
      <c r="G168" s="67">
        <f>E168+F168</f>
        <v>0</v>
      </c>
      <c r="H168" s="233">
        <f>60000+45000</f>
        <v>105000</v>
      </c>
      <c r="I168" s="83">
        <f>G168+H168</f>
        <v>105000</v>
      </c>
      <c r="J168" s="67"/>
      <c r="K168" s="67"/>
      <c r="L168" s="67"/>
      <c r="M168" s="67">
        <v>3070.5</v>
      </c>
      <c r="N168" s="67">
        <f t="shared" si="155"/>
        <v>101929.5</v>
      </c>
      <c r="O168" s="76"/>
      <c r="P168" s="76"/>
    </row>
    <row r="169" spans="1:16" s="77" customFormat="1" x14ac:dyDescent="0.3">
      <c r="A169" s="52" t="s">
        <v>1293</v>
      </c>
      <c r="B169" s="52" t="s">
        <v>1296</v>
      </c>
      <c r="C169" s="67"/>
      <c r="D169" s="53"/>
      <c r="E169" s="53"/>
      <c r="F169" s="53">
        <v>1500000</v>
      </c>
      <c r="G169" s="53">
        <f>E169+F169</f>
        <v>1500000</v>
      </c>
      <c r="H169" s="170"/>
      <c r="I169" s="69">
        <f>G169+H169</f>
        <v>1500000</v>
      </c>
      <c r="J169" s="53"/>
      <c r="K169" s="53"/>
      <c r="L169" s="67"/>
      <c r="M169" s="67"/>
      <c r="N169" s="53">
        <f t="shared" si="155"/>
        <v>1500000</v>
      </c>
      <c r="O169" s="76"/>
      <c r="P169" s="76"/>
    </row>
    <row r="170" spans="1:16" s="77" customFormat="1" x14ac:dyDescent="0.3">
      <c r="A170" s="52"/>
      <c r="B170" s="52"/>
      <c r="C170" s="67"/>
      <c r="D170" s="53"/>
      <c r="E170" s="53"/>
      <c r="F170" s="53"/>
      <c r="G170" s="53">
        <f>E170+F170</f>
        <v>0</v>
      </c>
      <c r="H170" s="170"/>
      <c r="I170" s="69">
        <f>G170+H170</f>
        <v>0</v>
      </c>
      <c r="J170" s="53"/>
      <c r="K170" s="53"/>
      <c r="L170" s="67"/>
      <c r="M170" s="67"/>
      <c r="N170" s="53">
        <f>I170-L170</f>
        <v>0</v>
      </c>
      <c r="O170" s="76"/>
      <c r="P170" s="76"/>
    </row>
    <row r="171" spans="1:16" s="77" customFormat="1" ht="13.5" thickBot="1" x14ac:dyDescent="0.35">
      <c r="A171" s="84"/>
      <c r="B171" s="84"/>
      <c r="C171" s="161"/>
      <c r="D171" s="114"/>
      <c r="E171" s="114"/>
      <c r="F171" s="114"/>
      <c r="G171" s="114"/>
      <c r="H171" s="195"/>
      <c r="I171" s="114"/>
      <c r="J171" s="114"/>
      <c r="K171" s="114"/>
      <c r="L171" s="67"/>
      <c r="M171" s="67"/>
      <c r="N171" s="67"/>
      <c r="O171" s="76"/>
      <c r="P171" s="76"/>
    </row>
    <row r="172" spans="1:16" s="77" customFormat="1" ht="13.5" thickBot="1" x14ac:dyDescent="0.35">
      <c r="A172" s="57" t="s">
        <v>678</v>
      </c>
      <c r="B172" s="57"/>
      <c r="C172" s="59">
        <f>SUM(C166:C167)</f>
        <v>1000000</v>
      </c>
      <c r="D172" s="59">
        <f>SUM(D166:D167)</f>
        <v>645000</v>
      </c>
      <c r="E172" s="59">
        <f>SUM(E166:E171)</f>
        <v>1645000</v>
      </c>
      <c r="F172" s="59">
        <f>SUM(F166:F171)</f>
        <v>1500000</v>
      </c>
      <c r="G172" s="59">
        <f>SUM(G166:G171)</f>
        <v>3145000</v>
      </c>
      <c r="H172" s="171">
        <f t="shared" ref="H172:N172" si="156">SUM(H166:H171)</f>
        <v>212000</v>
      </c>
      <c r="I172" s="59">
        <f t="shared" si="156"/>
        <v>3357000</v>
      </c>
      <c r="J172" s="59">
        <f t="shared" si="156"/>
        <v>1046000</v>
      </c>
      <c r="K172" s="59">
        <f t="shared" si="156"/>
        <v>1094116</v>
      </c>
      <c r="L172" s="59">
        <f t="shared" si="156"/>
        <v>534436.6</v>
      </c>
      <c r="M172" s="59">
        <f t="shared" si="156"/>
        <v>34070.5</v>
      </c>
      <c r="N172" s="59">
        <f t="shared" si="156"/>
        <v>2788492.9</v>
      </c>
      <c r="O172" s="76"/>
      <c r="P172" s="76"/>
    </row>
    <row r="173" spans="1:16" s="77" customFormat="1" ht="13.5" thickTop="1" x14ac:dyDescent="0.3">
      <c r="A173" s="60"/>
      <c r="B173" s="60"/>
      <c r="C173" s="78"/>
      <c r="D173" s="78"/>
      <c r="E173" s="53">
        <f t="shared" si="125"/>
        <v>0</v>
      </c>
      <c r="F173" s="62"/>
      <c r="G173" s="62"/>
      <c r="H173" s="172"/>
      <c r="I173" s="62"/>
      <c r="J173" s="62"/>
      <c r="K173" s="62"/>
      <c r="L173" s="67"/>
      <c r="M173" s="67"/>
      <c r="N173" s="67"/>
      <c r="O173" s="76"/>
      <c r="P173" s="76"/>
    </row>
    <row r="174" spans="1:16" s="77" customFormat="1" x14ac:dyDescent="0.3">
      <c r="A174" s="51" t="s">
        <v>79</v>
      </c>
      <c r="B174" s="52"/>
      <c r="C174" s="78"/>
      <c r="D174" s="78"/>
      <c r="E174" s="53">
        <f t="shared" si="125"/>
        <v>0</v>
      </c>
      <c r="F174" s="62"/>
      <c r="G174" s="62"/>
      <c r="H174" s="172"/>
      <c r="I174" s="62"/>
      <c r="J174" s="62"/>
      <c r="K174" s="62"/>
      <c r="L174" s="67"/>
      <c r="M174" s="67"/>
      <c r="N174" s="67"/>
      <c r="O174" s="76"/>
      <c r="P174" s="76"/>
    </row>
    <row r="175" spans="1:16" s="77" customFormat="1" x14ac:dyDescent="0.3">
      <c r="A175" s="52"/>
      <c r="B175" s="52" t="s">
        <v>185</v>
      </c>
      <c r="C175" s="78"/>
      <c r="D175" s="78"/>
      <c r="E175" s="53">
        <f t="shared" si="125"/>
        <v>0</v>
      </c>
      <c r="F175" s="62"/>
      <c r="G175" s="53">
        <f t="shared" ref="G175:G184" si="157">E175+F175</f>
        <v>0</v>
      </c>
      <c r="H175" s="172"/>
      <c r="I175" s="69">
        <f t="shared" ref="I175:I184" si="158">G175+H175</f>
        <v>0</v>
      </c>
      <c r="J175" s="62"/>
      <c r="K175" s="62"/>
      <c r="L175" s="67"/>
      <c r="M175" s="67"/>
      <c r="N175" s="53">
        <f t="shared" ref="N175:N184" si="159">I175-L175-M175</f>
        <v>0</v>
      </c>
      <c r="O175" s="76"/>
      <c r="P175" s="76"/>
    </row>
    <row r="176" spans="1:16" s="77" customFormat="1" x14ac:dyDescent="0.3">
      <c r="A176" s="52"/>
      <c r="B176" s="52" t="s">
        <v>176</v>
      </c>
      <c r="C176" s="78"/>
      <c r="D176" s="78"/>
      <c r="E176" s="53">
        <f t="shared" si="125"/>
        <v>0</v>
      </c>
      <c r="F176" s="62"/>
      <c r="G176" s="53">
        <f t="shared" si="157"/>
        <v>0</v>
      </c>
      <c r="H176" s="172"/>
      <c r="I176" s="69">
        <f t="shared" si="158"/>
        <v>0</v>
      </c>
      <c r="J176" s="62"/>
      <c r="K176" s="62"/>
      <c r="L176" s="67"/>
      <c r="M176" s="67"/>
      <c r="N176" s="53">
        <f t="shared" si="159"/>
        <v>0</v>
      </c>
      <c r="O176" s="76"/>
      <c r="P176" s="76"/>
    </row>
    <row r="177" spans="1:16" s="77" customFormat="1" x14ac:dyDescent="0.3">
      <c r="A177" s="52"/>
      <c r="B177" s="52" t="s">
        <v>182</v>
      </c>
      <c r="C177" s="78"/>
      <c r="D177" s="78"/>
      <c r="E177" s="53">
        <f t="shared" si="125"/>
        <v>0</v>
      </c>
      <c r="F177" s="62"/>
      <c r="G177" s="53">
        <f t="shared" si="157"/>
        <v>0</v>
      </c>
      <c r="H177" s="172"/>
      <c r="I177" s="69">
        <f t="shared" si="158"/>
        <v>0</v>
      </c>
      <c r="J177" s="62"/>
      <c r="K177" s="62"/>
      <c r="L177" s="67"/>
      <c r="M177" s="67"/>
      <c r="N177" s="53">
        <f t="shared" si="159"/>
        <v>0</v>
      </c>
      <c r="O177" s="76"/>
      <c r="P177" s="76"/>
    </row>
    <row r="178" spans="1:16" s="77" customFormat="1" x14ac:dyDescent="0.3">
      <c r="A178" s="52"/>
      <c r="B178" s="52" t="s">
        <v>59</v>
      </c>
      <c r="C178" s="78"/>
      <c r="D178" s="78"/>
      <c r="E178" s="53">
        <f t="shared" si="125"/>
        <v>0</v>
      </c>
      <c r="F178" s="62"/>
      <c r="G178" s="53">
        <f t="shared" si="157"/>
        <v>0</v>
      </c>
      <c r="H178" s="172"/>
      <c r="I178" s="69">
        <f t="shared" si="158"/>
        <v>0</v>
      </c>
      <c r="J178" s="62"/>
      <c r="K178" s="62"/>
      <c r="L178" s="67"/>
      <c r="M178" s="67"/>
      <c r="N178" s="53">
        <f t="shared" si="159"/>
        <v>0</v>
      </c>
      <c r="O178" s="76"/>
      <c r="P178" s="76"/>
    </row>
    <row r="179" spans="1:16" s="77" customFormat="1" x14ac:dyDescent="0.3">
      <c r="A179" s="52"/>
      <c r="B179" s="52" t="s">
        <v>168</v>
      </c>
      <c r="C179" s="78"/>
      <c r="D179" s="78"/>
      <c r="E179" s="53">
        <f t="shared" si="125"/>
        <v>0</v>
      </c>
      <c r="F179" s="62"/>
      <c r="G179" s="53">
        <f t="shared" si="157"/>
        <v>0</v>
      </c>
      <c r="H179" s="172"/>
      <c r="I179" s="69">
        <f t="shared" si="158"/>
        <v>0</v>
      </c>
      <c r="J179" s="62"/>
      <c r="K179" s="62"/>
      <c r="L179" s="67"/>
      <c r="M179" s="67"/>
      <c r="N179" s="53">
        <f t="shared" si="159"/>
        <v>0</v>
      </c>
      <c r="O179" s="76"/>
      <c r="P179" s="76"/>
    </row>
    <row r="180" spans="1:16" s="77" customFormat="1" x14ac:dyDescent="0.3">
      <c r="A180" s="52"/>
      <c r="B180" s="52" t="s">
        <v>173</v>
      </c>
      <c r="C180" s="78"/>
      <c r="D180" s="78"/>
      <c r="E180" s="53">
        <f t="shared" si="125"/>
        <v>0</v>
      </c>
      <c r="F180" s="62"/>
      <c r="G180" s="53">
        <f t="shared" si="157"/>
        <v>0</v>
      </c>
      <c r="H180" s="172"/>
      <c r="I180" s="69">
        <f t="shared" si="158"/>
        <v>0</v>
      </c>
      <c r="J180" s="62"/>
      <c r="K180" s="62"/>
      <c r="L180" s="67"/>
      <c r="M180" s="67"/>
      <c r="N180" s="53">
        <f t="shared" si="159"/>
        <v>0</v>
      </c>
      <c r="O180" s="76"/>
      <c r="P180" s="76"/>
    </row>
    <row r="181" spans="1:16" s="77" customFormat="1" x14ac:dyDescent="0.3">
      <c r="A181" s="52"/>
      <c r="B181" s="52" t="s">
        <v>192</v>
      </c>
      <c r="C181" s="78"/>
      <c r="D181" s="78"/>
      <c r="E181" s="53">
        <f t="shared" si="125"/>
        <v>0</v>
      </c>
      <c r="F181" s="62"/>
      <c r="G181" s="53">
        <f t="shared" si="157"/>
        <v>0</v>
      </c>
      <c r="H181" s="172"/>
      <c r="I181" s="69">
        <f t="shared" si="158"/>
        <v>0</v>
      </c>
      <c r="J181" s="62"/>
      <c r="K181" s="62"/>
      <c r="L181" s="67"/>
      <c r="M181" s="67"/>
      <c r="N181" s="53">
        <f t="shared" si="159"/>
        <v>0</v>
      </c>
      <c r="O181" s="76"/>
      <c r="P181" s="76"/>
    </row>
    <row r="182" spans="1:16" s="77" customFormat="1" x14ac:dyDescent="0.3">
      <c r="A182" s="52"/>
      <c r="B182" s="52" t="s">
        <v>57</v>
      </c>
      <c r="C182" s="78"/>
      <c r="D182" s="78"/>
      <c r="E182" s="53">
        <f t="shared" si="125"/>
        <v>0</v>
      </c>
      <c r="F182" s="62"/>
      <c r="G182" s="53">
        <f t="shared" si="157"/>
        <v>0</v>
      </c>
      <c r="H182" s="172"/>
      <c r="I182" s="69">
        <f t="shared" si="158"/>
        <v>0</v>
      </c>
      <c r="J182" s="62"/>
      <c r="K182" s="62"/>
      <c r="L182" s="67"/>
      <c r="M182" s="67"/>
      <c r="N182" s="53">
        <f t="shared" si="159"/>
        <v>0</v>
      </c>
      <c r="O182" s="76"/>
      <c r="P182" s="76"/>
    </row>
    <row r="183" spans="1:16" s="77" customFormat="1" x14ac:dyDescent="0.3">
      <c r="A183" s="52"/>
      <c r="B183" s="52" t="s">
        <v>179</v>
      </c>
      <c r="C183" s="78"/>
      <c r="D183" s="78"/>
      <c r="E183" s="53">
        <f t="shared" si="125"/>
        <v>0</v>
      </c>
      <c r="F183" s="62"/>
      <c r="G183" s="53">
        <f t="shared" si="157"/>
        <v>0</v>
      </c>
      <c r="H183" s="172"/>
      <c r="I183" s="69">
        <f t="shared" si="158"/>
        <v>0</v>
      </c>
      <c r="J183" s="62"/>
      <c r="K183" s="62"/>
      <c r="L183" s="67"/>
      <c r="M183" s="67"/>
      <c r="N183" s="53">
        <f t="shared" si="159"/>
        <v>0</v>
      </c>
      <c r="O183" s="76"/>
      <c r="P183" s="76"/>
    </row>
    <row r="184" spans="1:16" s="77" customFormat="1" ht="13.5" thickBot="1" x14ac:dyDescent="0.35">
      <c r="A184" s="56" t="s">
        <v>1292</v>
      </c>
      <c r="B184" s="56" t="s">
        <v>1295</v>
      </c>
      <c r="C184" s="80"/>
      <c r="D184" s="80"/>
      <c r="E184" s="53">
        <f t="shared" si="125"/>
        <v>0</v>
      </c>
      <c r="F184" s="79">
        <v>250000</v>
      </c>
      <c r="G184" s="53">
        <f t="shared" si="157"/>
        <v>250000</v>
      </c>
      <c r="H184" s="174"/>
      <c r="I184" s="69">
        <f t="shared" si="158"/>
        <v>250000</v>
      </c>
      <c r="J184" s="79"/>
      <c r="K184" s="79"/>
      <c r="L184" s="67"/>
      <c r="M184" s="67"/>
      <c r="N184" s="53">
        <f t="shared" si="159"/>
        <v>250000</v>
      </c>
      <c r="O184" s="76"/>
      <c r="P184" s="76"/>
    </row>
    <row r="185" spans="1:16" s="77" customFormat="1" ht="13.5" thickBot="1" x14ac:dyDescent="0.35">
      <c r="A185" s="57" t="s">
        <v>203</v>
      </c>
      <c r="B185" s="57"/>
      <c r="C185" s="59">
        <f>SUM(C175:C183)</f>
        <v>0</v>
      </c>
      <c r="D185" s="59">
        <f t="shared" ref="D185" si="160">SUM(D175:D183)</f>
        <v>0</v>
      </c>
      <c r="E185" s="59">
        <f>SUM(E175:E184)</f>
        <v>0</v>
      </c>
      <c r="F185" s="59">
        <f t="shared" ref="F185:N185" si="161">SUM(F175:F184)</f>
        <v>250000</v>
      </c>
      <c r="G185" s="59">
        <f t="shared" si="161"/>
        <v>250000</v>
      </c>
      <c r="H185" s="171">
        <f t="shared" si="161"/>
        <v>0</v>
      </c>
      <c r="I185" s="59">
        <f t="shared" si="161"/>
        <v>250000</v>
      </c>
      <c r="J185" s="59">
        <f t="shared" si="161"/>
        <v>0</v>
      </c>
      <c r="K185" s="59">
        <f t="shared" si="161"/>
        <v>0</v>
      </c>
      <c r="L185" s="59">
        <f t="shared" si="161"/>
        <v>0</v>
      </c>
      <c r="M185" s="59">
        <f t="shared" si="161"/>
        <v>0</v>
      </c>
      <c r="N185" s="59">
        <f t="shared" si="161"/>
        <v>250000</v>
      </c>
      <c r="O185" s="76"/>
      <c r="P185" s="76"/>
    </row>
    <row r="186" spans="1:16" s="77" customFormat="1" ht="14" thickTop="1" thickBot="1" x14ac:dyDescent="0.35">
      <c r="A186" s="151"/>
      <c r="B186" s="74"/>
      <c r="C186" s="80"/>
      <c r="D186" s="80"/>
      <c r="E186" s="69"/>
      <c r="F186" s="79"/>
      <c r="G186" s="79"/>
      <c r="H186" s="174"/>
      <c r="I186" s="79"/>
      <c r="J186" s="79"/>
      <c r="K186" s="79"/>
      <c r="L186" s="67"/>
      <c r="M186" s="67"/>
      <c r="N186" s="67"/>
      <c r="O186" s="76"/>
      <c r="P186" s="76"/>
    </row>
    <row r="187" spans="1:16" s="77" customFormat="1" ht="13.5" thickBot="1" x14ac:dyDescent="0.35">
      <c r="A187" s="70" t="s">
        <v>1231</v>
      </c>
      <c r="B187" s="70"/>
      <c r="C187" s="72">
        <f>C185+C172</f>
        <v>1000000</v>
      </c>
      <c r="D187" s="72">
        <f t="shared" ref="D187:N187" si="162">D185+D172</f>
        <v>645000</v>
      </c>
      <c r="E187" s="72">
        <f t="shared" si="162"/>
        <v>1645000</v>
      </c>
      <c r="F187" s="72">
        <f t="shared" si="162"/>
        <v>1750000</v>
      </c>
      <c r="G187" s="72">
        <f t="shared" si="162"/>
        <v>3395000</v>
      </c>
      <c r="H187" s="177">
        <f t="shared" si="162"/>
        <v>212000</v>
      </c>
      <c r="I187" s="72">
        <f t="shared" si="162"/>
        <v>3607000</v>
      </c>
      <c r="J187" s="72">
        <f t="shared" si="162"/>
        <v>1046000</v>
      </c>
      <c r="K187" s="72">
        <f t="shared" si="162"/>
        <v>1094116</v>
      </c>
      <c r="L187" s="72">
        <f t="shared" si="162"/>
        <v>534436.6</v>
      </c>
      <c r="M187" s="72">
        <f t="shared" si="162"/>
        <v>34070.5</v>
      </c>
      <c r="N187" s="72">
        <f t="shared" si="162"/>
        <v>3038492.9</v>
      </c>
      <c r="O187" s="76"/>
      <c r="P187" s="76"/>
    </row>
    <row r="188" spans="1:16" s="77" customFormat="1" ht="13.5" thickTop="1" x14ac:dyDescent="0.3">
      <c r="A188" s="60"/>
      <c r="B188" s="60"/>
      <c r="C188" s="78"/>
      <c r="D188" s="78"/>
      <c r="E188" s="62"/>
      <c r="F188" s="62"/>
      <c r="G188" s="62"/>
      <c r="H188" s="172"/>
      <c r="I188" s="62"/>
      <c r="J188" s="62"/>
      <c r="K188" s="62"/>
      <c r="L188" s="67"/>
      <c r="M188" s="67"/>
      <c r="N188" s="67"/>
      <c r="O188" s="76"/>
      <c r="P188" s="76"/>
    </row>
    <row r="189" spans="1:16" s="77" customFormat="1" x14ac:dyDescent="0.3">
      <c r="A189" s="51" t="s">
        <v>692</v>
      </c>
      <c r="B189" s="51"/>
      <c r="C189" s="67"/>
      <c r="D189" s="67"/>
      <c r="E189" s="53">
        <f t="shared" si="125"/>
        <v>0</v>
      </c>
      <c r="F189" s="53"/>
      <c r="G189" s="53"/>
      <c r="H189" s="170"/>
      <c r="I189" s="53"/>
      <c r="J189" s="53">
        <f t="shared" ref="J189:J200" si="163">C189*104.6%</f>
        <v>0</v>
      </c>
      <c r="K189" s="53">
        <f t="shared" ref="K189" si="164">J189*104.6%</f>
        <v>0</v>
      </c>
      <c r="L189" s="67"/>
      <c r="M189" s="67"/>
      <c r="N189" s="67"/>
      <c r="O189" s="76"/>
      <c r="P189" s="76"/>
    </row>
    <row r="190" spans="1:16" s="77" customFormat="1" x14ac:dyDescent="0.3">
      <c r="A190" s="51"/>
      <c r="B190" s="51"/>
      <c r="C190" s="67"/>
      <c r="D190" s="67"/>
      <c r="E190" s="53">
        <f t="shared" si="125"/>
        <v>0</v>
      </c>
      <c r="F190" s="53"/>
      <c r="G190" s="53"/>
      <c r="H190" s="170"/>
      <c r="I190" s="53"/>
      <c r="J190" s="53">
        <f t="shared" si="163"/>
        <v>0</v>
      </c>
      <c r="K190" s="53">
        <f t="shared" ref="K190" si="165">J190*104.6%</f>
        <v>0</v>
      </c>
      <c r="L190" s="67"/>
      <c r="M190" s="67"/>
      <c r="N190" s="67"/>
      <c r="O190" s="76"/>
      <c r="P190" s="76"/>
    </row>
    <row r="191" spans="1:16" s="77" customFormat="1" x14ac:dyDescent="0.3">
      <c r="A191" s="52"/>
      <c r="B191" s="51" t="s">
        <v>461</v>
      </c>
      <c r="C191" s="67"/>
      <c r="D191" s="67"/>
      <c r="E191" s="53">
        <f t="shared" si="125"/>
        <v>0</v>
      </c>
      <c r="F191" s="53"/>
      <c r="G191" s="53"/>
      <c r="H191" s="170"/>
      <c r="I191" s="53"/>
      <c r="J191" s="53">
        <f t="shared" si="163"/>
        <v>0</v>
      </c>
      <c r="K191" s="53">
        <f t="shared" ref="K191" si="166">J191*104.6%</f>
        <v>0</v>
      </c>
      <c r="L191" s="67"/>
      <c r="M191" s="67"/>
      <c r="N191" s="67"/>
      <c r="O191" s="76"/>
      <c r="P191" s="76"/>
    </row>
    <row r="192" spans="1:16" s="77" customFormat="1" x14ac:dyDescent="0.3">
      <c r="A192" s="52" t="s">
        <v>154</v>
      </c>
      <c r="B192" s="52" t="s">
        <v>475</v>
      </c>
      <c r="C192" s="53">
        <v>25000</v>
      </c>
      <c r="D192" s="53"/>
      <c r="E192" s="53">
        <f t="shared" si="125"/>
        <v>25000</v>
      </c>
      <c r="F192" s="53"/>
      <c r="G192" s="53">
        <f t="shared" ref="G192:G200" si="167">E192+F192</f>
        <v>25000</v>
      </c>
      <c r="H192" s="170">
        <f>(100000+7000)--53678.3</f>
        <v>160678.29999999999</v>
      </c>
      <c r="I192" s="69">
        <f t="shared" ref="I192:I203" si="168">G192+H192</f>
        <v>185678.3</v>
      </c>
      <c r="J192" s="53">
        <f t="shared" si="163"/>
        <v>26150</v>
      </c>
      <c r="K192" s="53">
        <f t="shared" ref="K192" si="169">J192*104.6%</f>
        <v>27352.9</v>
      </c>
      <c r="L192" s="53">
        <v>184646.53</v>
      </c>
      <c r="M192" s="53"/>
      <c r="N192" s="53">
        <f t="shared" ref="N192:N203" si="170">I192-L192-M192</f>
        <v>1031.7699999999895</v>
      </c>
      <c r="O192" s="76"/>
      <c r="P192" s="76"/>
    </row>
    <row r="193" spans="1:16" s="77" customFormat="1" x14ac:dyDescent="0.3">
      <c r="A193" s="52" t="s">
        <v>158</v>
      </c>
      <c r="B193" s="52" t="s">
        <v>159</v>
      </c>
      <c r="C193" s="53">
        <v>15000</v>
      </c>
      <c r="D193" s="53"/>
      <c r="E193" s="53">
        <f t="shared" si="125"/>
        <v>15000</v>
      </c>
      <c r="F193" s="53"/>
      <c r="G193" s="53">
        <f t="shared" si="167"/>
        <v>15000</v>
      </c>
      <c r="H193" s="170"/>
      <c r="I193" s="69">
        <f t="shared" si="168"/>
        <v>15000</v>
      </c>
      <c r="J193" s="53">
        <f t="shared" si="163"/>
        <v>15690</v>
      </c>
      <c r="K193" s="53">
        <f t="shared" ref="K193" si="171">J193*104.6%</f>
        <v>16411.740000000002</v>
      </c>
      <c r="L193" s="67">
        <v>0</v>
      </c>
      <c r="M193" s="67"/>
      <c r="N193" s="53">
        <f t="shared" si="170"/>
        <v>15000</v>
      </c>
      <c r="O193" s="76"/>
      <c r="P193" s="76"/>
    </row>
    <row r="194" spans="1:16" s="77" customFormat="1" x14ac:dyDescent="0.3">
      <c r="A194" s="52" t="s">
        <v>155</v>
      </c>
      <c r="B194" s="52" t="s">
        <v>156</v>
      </c>
      <c r="C194" s="53">
        <v>10000</v>
      </c>
      <c r="D194" s="53"/>
      <c r="E194" s="53">
        <f t="shared" si="125"/>
        <v>10000</v>
      </c>
      <c r="F194" s="53"/>
      <c r="G194" s="53">
        <f t="shared" si="167"/>
        <v>10000</v>
      </c>
      <c r="H194" s="170"/>
      <c r="I194" s="69">
        <f t="shared" si="168"/>
        <v>10000</v>
      </c>
      <c r="J194" s="53">
        <f t="shared" si="163"/>
        <v>10460</v>
      </c>
      <c r="K194" s="53">
        <f t="shared" ref="K194" si="172">J194*104.6%</f>
        <v>10941.16</v>
      </c>
      <c r="L194" s="67">
        <v>0</v>
      </c>
      <c r="M194" s="67"/>
      <c r="N194" s="53">
        <f t="shared" si="170"/>
        <v>10000</v>
      </c>
      <c r="O194" s="76"/>
      <c r="P194" s="76"/>
    </row>
    <row r="195" spans="1:16" s="77" customFormat="1" x14ac:dyDescent="0.3">
      <c r="A195" s="52" t="s">
        <v>157</v>
      </c>
      <c r="B195" s="52" t="s">
        <v>46</v>
      </c>
      <c r="C195" s="53">
        <v>10000</v>
      </c>
      <c r="D195" s="53"/>
      <c r="E195" s="53">
        <f t="shared" si="125"/>
        <v>10000</v>
      </c>
      <c r="F195" s="53"/>
      <c r="G195" s="53">
        <f t="shared" si="167"/>
        <v>10000</v>
      </c>
      <c r="H195" s="170"/>
      <c r="I195" s="69">
        <f t="shared" si="168"/>
        <v>10000</v>
      </c>
      <c r="J195" s="53">
        <f t="shared" si="163"/>
        <v>10460</v>
      </c>
      <c r="K195" s="53">
        <f t="shared" ref="K195" si="173">J195*104.6%</f>
        <v>10941.16</v>
      </c>
      <c r="L195" s="53">
        <v>278</v>
      </c>
      <c r="M195" s="67"/>
      <c r="N195" s="53">
        <f t="shared" si="170"/>
        <v>9722</v>
      </c>
      <c r="O195" s="76"/>
      <c r="P195" s="76"/>
    </row>
    <row r="196" spans="1:16" s="77" customFormat="1" x14ac:dyDescent="0.3">
      <c r="A196" s="51"/>
      <c r="B196" s="51"/>
      <c r="C196" s="67"/>
      <c r="D196" s="67"/>
      <c r="E196" s="53">
        <f t="shared" si="125"/>
        <v>0</v>
      </c>
      <c r="F196" s="53"/>
      <c r="G196" s="53">
        <f t="shared" si="167"/>
        <v>0</v>
      </c>
      <c r="H196" s="170"/>
      <c r="I196" s="69">
        <f t="shared" si="168"/>
        <v>0</v>
      </c>
      <c r="J196" s="53">
        <f t="shared" si="163"/>
        <v>0</v>
      </c>
      <c r="K196" s="53">
        <f t="shared" ref="K196" si="174">J196*104.6%</f>
        <v>0</v>
      </c>
      <c r="L196" s="67"/>
      <c r="M196" s="67"/>
      <c r="N196" s="53">
        <f t="shared" si="170"/>
        <v>0</v>
      </c>
      <c r="O196" s="76"/>
      <c r="P196" s="76"/>
    </row>
    <row r="197" spans="1:16" s="77" customFormat="1" x14ac:dyDescent="0.3">
      <c r="A197" s="52" t="s">
        <v>140</v>
      </c>
      <c r="B197" s="52" t="s">
        <v>693</v>
      </c>
      <c r="C197" s="53">
        <v>500000</v>
      </c>
      <c r="D197" s="53"/>
      <c r="E197" s="53">
        <f t="shared" si="125"/>
        <v>500000</v>
      </c>
      <c r="F197" s="53"/>
      <c r="G197" s="53">
        <f t="shared" si="167"/>
        <v>500000</v>
      </c>
      <c r="H197" s="170"/>
      <c r="I197" s="69">
        <f t="shared" si="168"/>
        <v>500000</v>
      </c>
      <c r="J197" s="53">
        <f t="shared" si="163"/>
        <v>523000</v>
      </c>
      <c r="K197" s="53">
        <f t="shared" ref="K197" si="175">J197*104.6%</f>
        <v>547058</v>
      </c>
      <c r="L197" s="67">
        <v>0</v>
      </c>
      <c r="M197" s="67"/>
      <c r="N197" s="53">
        <f t="shared" si="170"/>
        <v>500000</v>
      </c>
      <c r="O197" s="76"/>
      <c r="P197" s="76"/>
    </row>
    <row r="198" spans="1:16" s="77" customFormat="1" x14ac:dyDescent="0.3">
      <c r="A198" s="52" t="s">
        <v>162</v>
      </c>
      <c r="B198" s="52" t="s">
        <v>505</v>
      </c>
      <c r="C198" s="53">
        <v>40000</v>
      </c>
      <c r="D198" s="53"/>
      <c r="E198" s="53">
        <f t="shared" si="125"/>
        <v>40000</v>
      </c>
      <c r="F198" s="53"/>
      <c r="G198" s="53">
        <f t="shared" si="167"/>
        <v>40000</v>
      </c>
      <c r="H198" s="170"/>
      <c r="I198" s="69">
        <f t="shared" si="168"/>
        <v>40000</v>
      </c>
      <c r="J198" s="53">
        <f t="shared" si="163"/>
        <v>41840</v>
      </c>
      <c r="K198" s="53">
        <f t="shared" ref="K198" si="176">J198*104.6%</f>
        <v>43764.639999999999</v>
      </c>
      <c r="L198" s="53">
        <v>29925</v>
      </c>
      <c r="M198" s="53"/>
      <c r="N198" s="53">
        <f t="shared" si="170"/>
        <v>10075</v>
      </c>
      <c r="O198" s="76"/>
      <c r="P198" s="76"/>
    </row>
    <row r="199" spans="1:16" s="77" customFormat="1" x14ac:dyDescent="0.3">
      <c r="A199" s="52" t="s">
        <v>150</v>
      </c>
      <c r="B199" s="52" t="s">
        <v>659</v>
      </c>
      <c r="C199" s="53">
        <v>950000</v>
      </c>
      <c r="D199" s="53"/>
      <c r="E199" s="53">
        <f t="shared" si="125"/>
        <v>950000</v>
      </c>
      <c r="F199" s="53"/>
      <c r="G199" s="53">
        <f t="shared" si="167"/>
        <v>950000</v>
      </c>
      <c r="H199" s="170"/>
      <c r="I199" s="69">
        <f t="shared" si="168"/>
        <v>950000</v>
      </c>
      <c r="J199" s="53">
        <f t="shared" si="163"/>
        <v>993700</v>
      </c>
      <c r="K199" s="53">
        <f t="shared" ref="K199" si="177">J199*104.6%</f>
        <v>1039410.2000000001</v>
      </c>
      <c r="L199" s="53">
        <v>507500</v>
      </c>
      <c r="M199" s="53"/>
      <c r="N199" s="53">
        <f t="shared" si="170"/>
        <v>442500</v>
      </c>
      <c r="O199" s="76"/>
      <c r="P199" s="76"/>
    </row>
    <row r="200" spans="1:16" s="77" customFormat="1" x14ac:dyDescent="0.3">
      <c r="A200" s="56" t="s">
        <v>1167</v>
      </c>
      <c r="B200" s="56" t="s">
        <v>183</v>
      </c>
      <c r="C200" s="69">
        <v>58557.802937500011</v>
      </c>
      <c r="D200" s="69"/>
      <c r="E200" s="69">
        <f t="shared" si="125"/>
        <v>58557.802937500011</v>
      </c>
      <c r="F200" s="69"/>
      <c r="G200" s="69">
        <f t="shared" si="167"/>
        <v>58557.802937500011</v>
      </c>
      <c r="H200" s="173"/>
      <c r="I200" s="69">
        <f t="shared" si="168"/>
        <v>58557.802937500011</v>
      </c>
      <c r="J200" s="69">
        <f t="shared" si="163"/>
        <v>61251.461872625012</v>
      </c>
      <c r="K200" s="69">
        <f t="shared" ref="K200" si="178">J200*104.6%</f>
        <v>64069.029118765764</v>
      </c>
      <c r="L200" s="53">
        <v>15696.5</v>
      </c>
      <c r="M200" s="53"/>
      <c r="N200" s="53">
        <f t="shared" si="170"/>
        <v>42861.302937500011</v>
      </c>
      <c r="O200" s="76"/>
      <c r="P200" s="76"/>
    </row>
    <row r="201" spans="1:16" s="77" customFormat="1" x14ac:dyDescent="0.3">
      <c r="A201" s="52"/>
      <c r="B201" s="52"/>
      <c r="C201" s="53"/>
      <c r="D201" s="53"/>
      <c r="E201" s="53"/>
      <c r="F201" s="53"/>
      <c r="G201" s="53"/>
      <c r="H201" s="170"/>
      <c r="I201" s="69">
        <f t="shared" si="168"/>
        <v>0</v>
      </c>
      <c r="J201" s="53"/>
      <c r="K201" s="53"/>
      <c r="L201" s="67"/>
      <c r="M201" s="67"/>
      <c r="N201" s="53">
        <f t="shared" si="170"/>
        <v>0</v>
      </c>
      <c r="O201" s="76"/>
      <c r="P201" s="76"/>
    </row>
    <row r="202" spans="1:16" s="77" customFormat="1" x14ac:dyDescent="0.3">
      <c r="A202" s="52" t="s">
        <v>1290</v>
      </c>
      <c r="B202" s="166" t="s">
        <v>1291</v>
      </c>
      <c r="C202" s="53"/>
      <c r="D202" s="53"/>
      <c r="E202" s="53"/>
      <c r="F202" s="53">
        <v>500000</v>
      </c>
      <c r="G202" s="69">
        <f>E202+F202</f>
        <v>500000</v>
      </c>
      <c r="H202" s="173">
        <v>500000</v>
      </c>
      <c r="I202" s="69">
        <f t="shared" si="168"/>
        <v>1000000</v>
      </c>
      <c r="J202" s="53"/>
      <c r="K202" s="53"/>
      <c r="L202" s="53">
        <v>112487</v>
      </c>
      <c r="M202" s="67"/>
      <c r="N202" s="53">
        <f t="shared" si="170"/>
        <v>887513</v>
      </c>
      <c r="O202" s="76"/>
      <c r="P202" s="76"/>
    </row>
    <row r="203" spans="1:16" s="77" customFormat="1" ht="13.5" thickBot="1" x14ac:dyDescent="0.35">
      <c r="A203" s="84" t="s">
        <v>1294</v>
      </c>
      <c r="B203" s="84" t="s">
        <v>1297</v>
      </c>
      <c r="C203" s="114"/>
      <c r="D203" s="114"/>
      <c r="E203" s="114"/>
      <c r="F203" s="114">
        <v>577000</v>
      </c>
      <c r="G203" s="69">
        <f>E203+F203</f>
        <v>577000</v>
      </c>
      <c r="H203" s="173"/>
      <c r="I203" s="69">
        <f t="shared" si="168"/>
        <v>577000</v>
      </c>
      <c r="J203" s="114"/>
      <c r="K203" s="114"/>
      <c r="L203" s="53"/>
      <c r="M203" s="53"/>
      <c r="N203" s="53">
        <f t="shared" si="170"/>
        <v>577000</v>
      </c>
      <c r="O203" s="76"/>
      <c r="P203" s="76"/>
    </row>
    <row r="204" spans="1:16" s="77" customFormat="1" ht="13.5" thickBot="1" x14ac:dyDescent="0.35">
      <c r="A204" s="57" t="s">
        <v>678</v>
      </c>
      <c r="B204" s="57"/>
      <c r="C204" s="59">
        <f>SUM(C192:C200)</f>
        <v>1608557.8029374999</v>
      </c>
      <c r="D204" s="59">
        <f>SUM(D192:D200)</f>
        <v>0</v>
      </c>
      <c r="E204" s="59">
        <f>SUM(E192:E203)</f>
        <v>1608557.8029374999</v>
      </c>
      <c r="F204" s="59">
        <f t="shared" ref="F204" si="179">SUM(F192:F203)</f>
        <v>1077000</v>
      </c>
      <c r="G204" s="59">
        <f>SUM(G192:G203)</f>
        <v>2685557.8029375002</v>
      </c>
      <c r="H204" s="171">
        <f t="shared" ref="H204:N204" si="180">SUM(H192:H203)</f>
        <v>660678.30000000005</v>
      </c>
      <c r="I204" s="59">
        <f t="shared" si="180"/>
        <v>3346236.1029375</v>
      </c>
      <c r="J204" s="59">
        <f t="shared" si="180"/>
        <v>1682551.4618726249</v>
      </c>
      <c r="K204" s="59">
        <f t="shared" si="180"/>
        <v>1759948.8291187659</v>
      </c>
      <c r="L204" s="59">
        <f t="shared" si="180"/>
        <v>850533.03</v>
      </c>
      <c r="M204" s="59">
        <f t="shared" si="180"/>
        <v>0</v>
      </c>
      <c r="N204" s="59">
        <f t="shared" si="180"/>
        <v>2495703.0729375002</v>
      </c>
      <c r="O204" s="76"/>
      <c r="P204" s="76"/>
    </row>
    <row r="205" spans="1:16" s="77" customFormat="1" ht="13.5" thickTop="1" x14ac:dyDescent="0.3">
      <c r="A205" s="60"/>
      <c r="B205" s="60"/>
      <c r="C205" s="62"/>
      <c r="D205" s="62"/>
      <c r="E205" s="53">
        <f t="shared" si="125"/>
        <v>0</v>
      </c>
      <c r="F205" s="62"/>
      <c r="G205" s="62"/>
      <c r="H205" s="172"/>
      <c r="I205" s="62"/>
      <c r="J205" s="62"/>
      <c r="K205" s="62"/>
      <c r="L205" s="67"/>
      <c r="M205" s="67"/>
      <c r="N205" s="67"/>
      <c r="O205" s="76"/>
      <c r="P205" s="76"/>
    </row>
    <row r="206" spans="1:16" s="77" customFormat="1" x14ac:dyDescent="0.3">
      <c r="A206" s="51" t="s">
        <v>79</v>
      </c>
      <c r="B206" s="52"/>
      <c r="C206" s="53"/>
      <c r="D206" s="53"/>
      <c r="E206" s="53">
        <f t="shared" si="125"/>
        <v>0</v>
      </c>
      <c r="F206" s="53"/>
      <c r="G206" s="53"/>
      <c r="H206" s="170"/>
      <c r="I206" s="53"/>
      <c r="J206" s="53">
        <f>C206*104.6%</f>
        <v>0</v>
      </c>
      <c r="K206" s="53">
        <f t="shared" ref="K206" si="181">J206*104.6%</f>
        <v>0</v>
      </c>
      <c r="L206" s="67"/>
      <c r="M206" s="67"/>
      <c r="N206" s="67"/>
      <c r="O206" s="76"/>
      <c r="P206" s="76"/>
    </row>
    <row r="207" spans="1:16" s="77" customFormat="1" x14ac:dyDescent="0.3">
      <c r="A207" s="52" t="s">
        <v>184</v>
      </c>
      <c r="B207" s="52" t="s">
        <v>185</v>
      </c>
      <c r="C207" s="53">
        <v>58269.959999999992</v>
      </c>
      <c r="D207" s="53"/>
      <c r="E207" s="53">
        <f t="shared" si="125"/>
        <v>58269.959999999992</v>
      </c>
      <c r="F207" s="53"/>
      <c r="G207" s="53">
        <f t="shared" ref="G207:G223" si="182">E207+F207</f>
        <v>58269.959999999992</v>
      </c>
      <c r="H207" s="170">
        <v>-23547.599999999991</v>
      </c>
      <c r="I207" s="69">
        <f t="shared" ref="I207:I222" si="183">G207+H207</f>
        <v>34722.36</v>
      </c>
      <c r="J207" s="53">
        <v>60950.378159999993</v>
      </c>
      <c r="K207" s="53">
        <v>63754.095555359992</v>
      </c>
      <c r="L207" s="53">
        <v>13503.140000000001</v>
      </c>
      <c r="M207" s="53"/>
      <c r="N207" s="53">
        <f t="shared" ref="N207:N222" si="184">I207-L207-M207</f>
        <v>21219.22</v>
      </c>
      <c r="O207" s="76"/>
      <c r="P207" s="76"/>
    </row>
    <row r="208" spans="1:16" s="77" customFormat="1" x14ac:dyDescent="0.3">
      <c r="A208" s="52" t="s">
        <v>175</v>
      </c>
      <c r="B208" s="52" t="s">
        <v>176</v>
      </c>
      <c r="C208" s="53">
        <v>1088042.93758125</v>
      </c>
      <c r="D208" s="53"/>
      <c r="E208" s="53">
        <f t="shared" si="125"/>
        <v>1088042.93758125</v>
      </c>
      <c r="F208" s="53"/>
      <c r="G208" s="53">
        <f t="shared" si="182"/>
        <v>1088042.93758125</v>
      </c>
      <c r="H208" s="170">
        <v>-510187.06460937508</v>
      </c>
      <c r="I208" s="69">
        <f t="shared" si="183"/>
        <v>577855.87297187489</v>
      </c>
      <c r="J208" s="53">
        <f t="shared" ref="J208:J223" si="185">C208*104.6%</f>
        <v>1138092.9127099875</v>
      </c>
      <c r="K208" s="53">
        <f t="shared" ref="K208" si="186">J208*104.6%</f>
        <v>1190445.186694647</v>
      </c>
      <c r="L208" s="53">
        <v>333961.46000000002</v>
      </c>
      <c r="M208" s="53"/>
      <c r="N208" s="53">
        <f t="shared" si="184"/>
        <v>243894.41297187487</v>
      </c>
      <c r="O208" s="76"/>
      <c r="P208" s="76"/>
    </row>
    <row r="209" spans="1:16" s="77" customFormat="1" x14ac:dyDescent="0.3">
      <c r="A209" s="52" t="s">
        <v>181</v>
      </c>
      <c r="B209" s="52" t="s">
        <v>182</v>
      </c>
      <c r="C209" s="53">
        <v>196958.17499999999</v>
      </c>
      <c r="D209" s="53"/>
      <c r="E209" s="53">
        <f t="shared" si="125"/>
        <v>196958.17499999999</v>
      </c>
      <c r="F209" s="53"/>
      <c r="G209" s="53">
        <f t="shared" si="182"/>
        <v>196958.17499999999</v>
      </c>
      <c r="H209" s="170">
        <v>-72646.312499999971</v>
      </c>
      <c r="I209" s="69">
        <f t="shared" si="183"/>
        <v>124311.86250000002</v>
      </c>
      <c r="J209" s="53">
        <f t="shared" si="185"/>
        <v>206018.25104999999</v>
      </c>
      <c r="K209" s="53">
        <f t="shared" ref="K209" si="187">J209*104.6%</f>
        <v>215495.09059830001</v>
      </c>
      <c r="L209" s="53">
        <v>114659.56</v>
      </c>
      <c r="M209" s="53"/>
      <c r="N209" s="53">
        <f t="shared" si="184"/>
        <v>9652.3025000000198</v>
      </c>
      <c r="O209" s="76"/>
      <c r="P209" s="76"/>
    </row>
    <row r="210" spans="1:16" s="77" customFormat="1" x14ac:dyDescent="0.3">
      <c r="A210" s="52" t="s">
        <v>170</v>
      </c>
      <c r="B210" s="52" t="s">
        <v>59</v>
      </c>
      <c r="C210" s="53">
        <v>2124.9599999999996</v>
      </c>
      <c r="D210" s="53"/>
      <c r="E210" s="53">
        <f t="shared" si="125"/>
        <v>2124.9599999999996</v>
      </c>
      <c r="F210" s="53"/>
      <c r="G210" s="53">
        <f t="shared" si="182"/>
        <v>2124.9599999999996</v>
      </c>
      <c r="H210" s="170">
        <v>-335.52000000000021</v>
      </c>
      <c r="I210" s="69">
        <f t="shared" si="183"/>
        <v>1789.4399999999994</v>
      </c>
      <c r="J210" s="53">
        <f t="shared" si="185"/>
        <v>2222.7081599999997</v>
      </c>
      <c r="K210" s="53">
        <f t="shared" ref="K210" si="188">J210*104.6%</f>
        <v>2324.9527353599997</v>
      </c>
      <c r="L210" s="53">
        <v>594</v>
      </c>
      <c r="M210" s="53"/>
      <c r="N210" s="53">
        <f t="shared" si="184"/>
        <v>1195.4399999999994</v>
      </c>
      <c r="O210" s="76"/>
      <c r="P210" s="76"/>
    </row>
    <row r="211" spans="1:16" s="77" customFormat="1" x14ac:dyDescent="0.3">
      <c r="A211" s="52" t="s">
        <v>167</v>
      </c>
      <c r="B211" s="52" t="s">
        <v>168</v>
      </c>
      <c r="C211" s="53">
        <v>431284.91239583329</v>
      </c>
      <c r="D211" s="53"/>
      <c r="E211" s="53">
        <f t="shared" si="125"/>
        <v>431284.91239583329</v>
      </c>
      <c r="F211" s="53"/>
      <c r="G211" s="53">
        <f t="shared" si="182"/>
        <v>431284.91239583329</v>
      </c>
      <c r="H211" s="170">
        <v>-178311.49239583331</v>
      </c>
      <c r="I211" s="69">
        <f t="shared" si="183"/>
        <v>252973.41999999998</v>
      </c>
      <c r="J211" s="53">
        <f t="shared" si="185"/>
        <v>451124.01836604165</v>
      </c>
      <c r="K211" s="53">
        <f t="shared" ref="K211" si="189">J211*104.6%</f>
        <v>471875.7232108796</v>
      </c>
      <c r="L211" s="53">
        <v>206453.39</v>
      </c>
      <c r="M211" s="53"/>
      <c r="N211" s="53">
        <f t="shared" si="184"/>
        <v>46520.02999999997</v>
      </c>
      <c r="O211" s="76"/>
      <c r="P211" s="76"/>
    </row>
    <row r="212" spans="1:16" s="77" customFormat="1" x14ac:dyDescent="0.3">
      <c r="A212" s="52" t="s">
        <v>598</v>
      </c>
      <c r="B212" s="52" t="s">
        <v>593</v>
      </c>
      <c r="C212" s="53">
        <v>35000</v>
      </c>
      <c r="D212" s="53"/>
      <c r="E212" s="53">
        <f t="shared" si="125"/>
        <v>35000</v>
      </c>
      <c r="F212" s="53"/>
      <c r="G212" s="53">
        <f t="shared" si="182"/>
        <v>35000</v>
      </c>
      <c r="H212" s="170">
        <v>-29000</v>
      </c>
      <c r="I212" s="69">
        <f t="shared" si="183"/>
        <v>6000</v>
      </c>
      <c r="J212" s="53">
        <f t="shared" si="185"/>
        <v>36610</v>
      </c>
      <c r="K212" s="53">
        <f t="shared" ref="K212" si="190">J212*104.6%</f>
        <v>38294.060000000005</v>
      </c>
      <c r="L212" s="53">
        <v>0</v>
      </c>
      <c r="M212" s="53"/>
      <c r="N212" s="53">
        <f t="shared" si="184"/>
        <v>6000</v>
      </c>
      <c r="O212" s="76"/>
      <c r="P212" s="76"/>
    </row>
    <row r="213" spans="1:16" s="77" customFormat="1" x14ac:dyDescent="0.3">
      <c r="A213" s="52" t="s">
        <v>172</v>
      </c>
      <c r="B213" s="52" t="s">
        <v>173</v>
      </c>
      <c r="C213" s="53">
        <v>383768.6</v>
      </c>
      <c r="D213" s="53"/>
      <c r="E213" s="53">
        <f t="shared" si="125"/>
        <v>383768.6</v>
      </c>
      <c r="F213" s="53"/>
      <c r="G213" s="53">
        <f t="shared" si="182"/>
        <v>383768.6</v>
      </c>
      <c r="H213" s="170">
        <v>-87443.959999999963</v>
      </c>
      <c r="I213" s="69">
        <f t="shared" si="183"/>
        <v>296324.64</v>
      </c>
      <c r="J213" s="53">
        <f t="shared" si="185"/>
        <v>401421.95559999999</v>
      </c>
      <c r="K213" s="53">
        <f t="shared" ref="K213" si="191">J213*104.6%</f>
        <v>419887.36555759999</v>
      </c>
      <c r="L213" s="53">
        <v>145843.32</v>
      </c>
      <c r="M213" s="53"/>
      <c r="N213" s="53">
        <f t="shared" si="184"/>
        <v>150481.32</v>
      </c>
      <c r="O213" s="76"/>
      <c r="P213" s="76"/>
    </row>
    <row r="214" spans="1:16" s="77" customFormat="1" x14ac:dyDescent="0.3">
      <c r="A214" s="52" t="s">
        <v>191</v>
      </c>
      <c r="B214" s="52" t="s">
        <v>192</v>
      </c>
      <c r="C214" s="53">
        <v>90000</v>
      </c>
      <c r="D214" s="53"/>
      <c r="E214" s="53">
        <f t="shared" si="125"/>
        <v>90000</v>
      </c>
      <c r="F214" s="53"/>
      <c r="G214" s="53">
        <f t="shared" si="182"/>
        <v>90000</v>
      </c>
      <c r="H214" s="170">
        <v>-72397.980625000011</v>
      </c>
      <c r="I214" s="69">
        <f t="shared" si="183"/>
        <v>17602.019374999989</v>
      </c>
      <c r="J214" s="53">
        <f t="shared" si="185"/>
        <v>94140</v>
      </c>
      <c r="K214" s="53">
        <f t="shared" ref="K214" si="192">J214*104.6%</f>
        <v>98470.44</v>
      </c>
      <c r="L214" s="53">
        <v>6444.8</v>
      </c>
      <c r="M214" s="53"/>
      <c r="N214" s="53">
        <f t="shared" si="184"/>
        <v>11157.21937499999</v>
      </c>
      <c r="O214" s="76"/>
      <c r="P214" s="76"/>
    </row>
    <row r="215" spans="1:16" s="77" customFormat="1" x14ac:dyDescent="0.3">
      <c r="A215" s="52" t="s">
        <v>165</v>
      </c>
      <c r="B215" s="52" t="s">
        <v>57</v>
      </c>
      <c r="C215" s="53">
        <v>5379418.9487500004</v>
      </c>
      <c r="D215" s="53"/>
      <c r="E215" s="53">
        <f t="shared" si="125"/>
        <v>5379418.9487500004</v>
      </c>
      <c r="F215" s="53"/>
      <c r="G215" s="53">
        <f t="shared" si="182"/>
        <v>5379418.9487500004</v>
      </c>
      <c r="H215" s="170">
        <v>-1882919.1433333335</v>
      </c>
      <c r="I215" s="69">
        <f t="shared" si="183"/>
        <v>3496499.8054166669</v>
      </c>
      <c r="J215" s="53">
        <f t="shared" si="185"/>
        <v>5626872.220392501</v>
      </c>
      <c r="K215" s="53">
        <f t="shared" ref="K215" si="193">J215*104.6%</f>
        <v>5885708.342530556</v>
      </c>
      <c r="L215" s="53">
        <v>1571072.1400000001</v>
      </c>
      <c r="M215" s="53"/>
      <c r="N215" s="53">
        <f t="shared" si="184"/>
        <v>1925427.6654166668</v>
      </c>
      <c r="O215" s="76"/>
      <c r="P215" s="76"/>
    </row>
    <row r="216" spans="1:16" s="77" customFormat="1" x14ac:dyDescent="0.3">
      <c r="A216" s="52" t="s">
        <v>178</v>
      </c>
      <c r="B216" s="52" t="s">
        <v>179</v>
      </c>
      <c r="C216" s="53">
        <v>31507.439999999995</v>
      </c>
      <c r="D216" s="53"/>
      <c r="E216" s="53">
        <f t="shared" ref="E216:E229" si="194">C216+D216</f>
        <v>31507.439999999995</v>
      </c>
      <c r="F216" s="53"/>
      <c r="G216" s="53">
        <f t="shared" si="182"/>
        <v>31507.439999999995</v>
      </c>
      <c r="H216" s="170">
        <v>-5353.9200000000055</v>
      </c>
      <c r="I216" s="69">
        <f t="shared" si="183"/>
        <v>26153.51999999999</v>
      </c>
      <c r="J216" s="53">
        <f t="shared" si="185"/>
        <v>32956.782239999993</v>
      </c>
      <c r="K216" s="53">
        <f t="shared" ref="K216" si="195">J216*104.6%</f>
        <v>34472.794223039993</v>
      </c>
      <c r="L216" s="53">
        <v>8774.48</v>
      </c>
      <c r="M216" s="53"/>
      <c r="N216" s="53">
        <f t="shared" si="184"/>
        <v>17379.03999999999</v>
      </c>
      <c r="O216" s="76"/>
      <c r="P216" s="76"/>
    </row>
    <row r="217" spans="1:16" s="77" customFormat="1" x14ac:dyDescent="0.3">
      <c r="A217" s="52" t="s">
        <v>198</v>
      </c>
      <c r="B217" s="52" t="s">
        <v>199</v>
      </c>
      <c r="C217" s="53">
        <v>1784.6399999999999</v>
      </c>
      <c r="D217" s="53"/>
      <c r="E217" s="53">
        <f t="shared" si="194"/>
        <v>1784.6399999999999</v>
      </c>
      <c r="F217" s="53"/>
      <c r="G217" s="53">
        <f t="shared" si="182"/>
        <v>1784.6399999999999</v>
      </c>
      <c r="H217" s="170">
        <v>0</v>
      </c>
      <c r="I217" s="69">
        <f t="shared" si="183"/>
        <v>1784.6399999999999</v>
      </c>
      <c r="J217" s="53">
        <f t="shared" si="185"/>
        <v>1866.73344</v>
      </c>
      <c r="K217" s="53">
        <f t="shared" ref="K217" si="196">J217*104.6%</f>
        <v>1952.60317824</v>
      </c>
      <c r="L217" s="53">
        <v>148.72</v>
      </c>
      <c r="M217" s="53"/>
      <c r="N217" s="53">
        <f t="shared" si="184"/>
        <v>1635.9199999999998</v>
      </c>
      <c r="O217" s="76"/>
      <c r="P217" s="76"/>
    </row>
    <row r="218" spans="1:16" s="77" customFormat="1" x14ac:dyDescent="0.3">
      <c r="A218" s="52" t="s">
        <v>509</v>
      </c>
      <c r="B218" s="52" t="s">
        <v>510</v>
      </c>
      <c r="C218" s="53">
        <v>100000</v>
      </c>
      <c r="D218" s="53"/>
      <c r="E218" s="53">
        <f t="shared" si="194"/>
        <v>100000</v>
      </c>
      <c r="F218" s="53"/>
      <c r="G218" s="53">
        <f t="shared" si="182"/>
        <v>100000</v>
      </c>
      <c r="H218" s="170">
        <v>-100000</v>
      </c>
      <c r="I218" s="69">
        <f t="shared" si="183"/>
        <v>0</v>
      </c>
      <c r="J218" s="53">
        <f t="shared" si="185"/>
        <v>104600</v>
      </c>
      <c r="K218" s="53">
        <f t="shared" ref="K218" si="197">J218*104.6%</f>
        <v>109411.6</v>
      </c>
      <c r="L218" s="53">
        <v>0</v>
      </c>
      <c r="M218" s="53"/>
      <c r="N218" s="53">
        <f t="shared" si="184"/>
        <v>0</v>
      </c>
      <c r="O218" s="76"/>
      <c r="P218" s="76"/>
    </row>
    <row r="219" spans="1:16" s="77" customFormat="1" x14ac:dyDescent="0.3">
      <c r="A219" s="52" t="s">
        <v>194</v>
      </c>
      <c r="B219" s="52" t="s">
        <v>195</v>
      </c>
      <c r="C219" s="53">
        <v>609538.80000000005</v>
      </c>
      <c r="D219" s="53"/>
      <c r="E219" s="53">
        <f t="shared" si="194"/>
        <v>609538.80000000005</v>
      </c>
      <c r="F219" s="53"/>
      <c r="G219" s="53">
        <f t="shared" si="182"/>
        <v>609538.80000000005</v>
      </c>
      <c r="H219" s="170">
        <v>-177457.19</v>
      </c>
      <c r="I219" s="69">
        <f t="shared" si="183"/>
        <v>432081.61000000004</v>
      </c>
      <c r="J219" s="53">
        <f t="shared" si="185"/>
        <v>637577.58480000007</v>
      </c>
      <c r="K219" s="53">
        <f t="shared" ref="K219" si="198">J219*104.6%</f>
        <v>666906.15370080015</v>
      </c>
      <c r="L219" s="53">
        <v>50941.440000000002</v>
      </c>
      <c r="M219" s="53"/>
      <c r="N219" s="53">
        <f t="shared" si="184"/>
        <v>381140.17000000004</v>
      </c>
      <c r="O219" s="76"/>
      <c r="P219" s="76"/>
    </row>
    <row r="220" spans="1:16" s="77" customFormat="1" x14ac:dyDescent="0.3">
      <c r="A220" s="52" t="s">
        <v>200</v>
      </c>
      <c r="B220" s="52" t="s">
        <v>201</v>
      </c>
      <c r="C220" s="53">
        <v>195360</v>
      </c>
      <c r="D220" s="53"/>
      <c r="E220" s="53">
        <f t="shared" si="194"/>
        <v>195360</v>
      </c>
      <c r="F220" s="53"/>
      <c r="G220" s="53">
        <f t="shared" si="182"/>
        <v>195360</v>
      </c>
      <c r="H220" s="170">
        <v>-51332.800000000017</v>
      </c>
      <c r="I220" s="69">
        <f t="shared" si="183"/>
        <v>144027.19999999998</v>
      </c>
      <c r="J220" s="53">
        <f t="shared" si="185"/>
        <v>204346.56</v>
      </c>
      <c r="K220" s="53">
        <f t="shared" ref="K220" si="199">J220*104.6%</f>
        <v>213746.50176000001</v>
      </c>
      <c r="L220" s="53">
        <v>16980.48</v>
      </c>
      <c r="M220" s="53"/>
      <c r="N220" s="53">
        <f t="shared" si="184"/>
        <v>127046.71999999999</v>
      </c>
      <c r="O220" s="76"/>
      <c r="P220" s="76"/>
    </row>
    <row r="221" spans="1:16" s="77" customFormat="1" x14ac:dyDescent="0.3">
      <c r="A221" s="52" t="s">
        <v>188</v>
      </c>
      <c r="B221" s="52" t="s">
        <v>189</v>
      </c>
      <c r="C221" s="53">
        <v>30000</v>
      </c>
      <c r="D221" s="53"/>
      <c r="E221" s="53">
        <f t="shared" si="194"/>
        <v>30000</v>
      </c>
      <c r="F221" s="53"/>
      <c r="G221" s="53">
        <f t="shared" si="182"/>
        <v>30000</v>
      </c>
      <c r="H221" s="170">
        <v>-23166.560000000001</v>
      </c>
      <c r="I221" s="69">
        <f t="shared" si="183"/>
        <v>6833.4399999999987</v>
      </c>
      <c r="J221" s="53">
        <f t="shared" si="185"/>
        <v>31380</v>
      </c>
      <c r="K221" s="53">
        <f t="shared" ref="K221" si="200">J221*104.6%</f>
        <v>32823.480000000003</v>
      </c>
      <c r="L221" s="53">
        <v>3133.75</v>
      </c>
      <c r="M221" s="53"/>
      <c r="N221" s="53">
        <f t="shared" si="184"/>
        <v>3699.6899999999987</v>
      </c>
      <c r="O221" s="76"/>
      <c r="P221" s="76"/>
    </row>
    <row r="222" spans="1:16" s="77" customFormat="1" x14ac:dyDescent="0.3">
      <c r="A222" s="56" t="s">
        <v>196</v>
      </c>
      <c r="B222" s="56" t="s">
        <v>197</v>
      </c>
      <c r="C222" s="53">
        <v>20000</v>
      </c>
      <c r="D222" s="53"/>
      <c r="E222" s="53">
        <f t="shared" si="194"/>
        <v>20000</v>
      </c>
      <c r="F222" s="53"/>
      <c r="G222" s="53">
        <f t="shared" si="182"/>
        <v>20000</v>
      </c>
      <c r="H222" s="170">
        <v>-20000</v>
      </c>
      <c r="I222" s="69">
        <f t="shared" si="183"/>
        <v>0</v>
      </c>
      <c r="J222" s="53">
        <f t="shared" si="185"/>
        <v>20920</v>
      </c>
      <c r="K222" s="53">
        <f t="shared" ref="K222" si="201">J222*104.6%</f>
        <v>21882.32</v>
      </c>
      <c r="L222" s="67"/>
      <c r="M222" s="67"/>
      <c r="N222" s="53">
        <f t="shared" si="184"/>
        <v>0</v>
      </c>
      <c r="O222" s="76"/>
      <c r="P222" s="76"/>
    </row>
    <row r="223" spans="1:16" s="77" customFormat="1" ht="13.5" thickBot="1" x14ac:dyDescent="0.35">
      <c r="A223" s="55"/>
      <c r="B223" s="55"/>
      <c r="C223" s="69"/>
      <c r="D223" s="69"/>
      <c r="E223" s="53">
        <f t="shared" si="194"/>
        <v>0</v>
      </c>
      <c r="F223" s="69"/>
      <c r="G223" s="53">
        <f t="shared" si="182"/>
        <v>0</v>
      </c>
      <c r="H223" s="173"/>
      <c r="I223" s="69"/>
      <c r="J223" s="69">
        <f t="shared" si="185"/>
        <v>0</v>
      </c>
      <c r="K223" s="69">
        <f t="shared" ref="K223" si="202">J223*104.6%</f>
        <v>0</v>
      </c>
      <c r="L223" s="67"/>
      <c r="M223" s="67"/>
      <c r="N223" s="53">
        <f t="shared" ref="N223" si="203">I223-L223</f>
        <v>0</v>
      </c>
      <c r="O223" s="76"/>
      <c r="P223" s="76"/>
    </row>
    <row r="224" spans="1:16" s="77" customFormat="1" ht="13.5" thickBot="1" x14ac:dyDescent="0.35">
      <c r="A224" s="57" t="s">
        <v>203</v>
      </c>
      <c r="B224" s="57"/>
      <c r="C224" s="59">
        <f>SUM(C207:C223)</f>
        <v>8653059.3737270851</v>
      </c>
      <c r="D224" s="59">
        <f>SUM(D207:D223)</f>
        <v>0</v>
      </c>
      <c r="E224" s="59">
        <f>SUM(E207:E223)</f>
        <v>8653059.3737270851</v>
      </c>
      <c r="F224" s="59">
        <f t="shared" ref="F224:N224" si="204">SUM(F207:F223)</f>
        <v>0</v>
      </c>
      <c r="G224" s="59">
        <f t="shared" si="204"/>
        <v>8653059.3737270851</v>
      </c>
      <c r="H224" s="171">
        <f t="shared" si="204"/>
        <v>-3234099.5434635417</v>
      </c>
      <c r="I224" s="59">
        <f t="shared" si="204"/>
        <v>5418959.830263542</v>
      </c>
      <c r="J224" s="59">
        <f t="shared" si="204"/>
        <v>9051100.1049185302</v>
      </c>
      <c r="K224" s="59">
        <f t="shared" si="204"/>
        <v>9467450.709744785</v>
      </c>
      <c r="L224" s="59">
        <f t="shared" si="204"/>
        <v>2472510.6800000006</v>
      </c>
      <c r="M224" s="59">
        <f t="shared" si="204"/>
        <v>0</v>
      </c>
      <c r="N224" s="59">
        <f t="shared" si="204"/>
        <v>2946449.1502635418</v>
      </c>
      <c r="O224" s="76"/>
      <c r="P224" s="76"/>
    </row>
    <row r="225" spans="1:16" s="77" customFormat="1" ht="14" thickTop="1" thickBot="1" x14ac:dyDescent="0.35">
      <c r="A225" s="74"/>
      <c r="B225" s="74"/>
      <c r="C225" s="79"/>
      <c r="D225" s="79"/>
      <c r="E225" s="53">
        <f t="shared" si="194"/>
        <v>0</v>
      </c>
      <c r="F225" s="79"/>
      <c r="G225" s="79"/>
      <c r="H225" s="174"/>
      <c r="I225" s="79"/>
      <c r="J225" s="79">
        <f>C225*104.6%</f>
        <v>0</v>
      </c>
      <c r="K225" s="79">
        <f t="shared" ref="K225" si="205">J225*104.6%</f>
        <v>0</v>
      </c>
      <c r="L225" s="67"/>
      <c r="M225" s="67"/>
      <c r="N225" s="67"/>
      <c r="O225" s="76"/>
      <c r="P225" s="76"/>
    </row>
    <row r="226" spans="1:16" s="77" customFormat="1" ht="13.5" thickBot="1" x14ac:dyDescent="0.35">
      <c r="A226" s="70" t="s">
        <v>694</v>
      </c>
      <c r="B226" s="70"/>
      <c r="C226" s="72">
        <f>C224+C204</f>
        <v>10261617.176664585</v>
      </c>
      <c r="D226" s="72">
        <f>D224+D204</f>
        <v>0</v>
      </c>
      <c r="E226" s="72">
        <f>E224+E204</f>
        <v>10261617.176664585</v>
      </c>
      <c r="F226" s="72">
        <f t="shared" ref="F226:N226" si="206">F224+F204</f>
        <v>1077000</v>
      </c>
      <c r="G226" s="72">
        <f t="shared" si="206"/>
        <v>11338617.176664585</v>
      </c>
      <c r="H226" s="177">
        <f t="shared" si="206"/>
        <v>-2573421.2434635414</v>
      </c>
      <c r="I226" s="72">
        <f t="shared" si="206"/>
        <v>8765195.9332010411</v>
      </c>
      <c r="J226" s="72">
        <f t="shared" si="206"/>
        <v>10733651.566791154</v>
      </c>
      <c r="K226" s="72">
        <f t="shared" si="206"/>
        <v>11227399.538863551</v>
      </c>
      <c r="L226" s="72">
        <f t="shared" si="206"/>
        <v>3323043.7100000009</v>
      </c>
      <c r="M226" s="72">
        <f t="shared" si="206"/>
        <v>0</v>
      </c>
      <c r="N226" s="72">
        <f t="shared" si="206"/>
        <v>5442152.223201042</v>
      </c>
      <c r="O226" s="76"/>
      <c r="P226" s="76"/>
    </row>
    <row r="227" spans="1:16" s="77" customFormat="1" ht="14" thickTop="1" thickBot="1" x14ac:dyDescent="0.35">
      <c r="A227" s="60"/>
      <c r="B227" s="60"/>
      <c r="C227" s="62"/>
      <c r="D227" s="62"/>
      <c r="E227" s="53">
        <f t="shared" si="194"/>
        <v>0</v>
      </c>
      <c r="F227" s="62"/>
      <c r="G227" s="62"/>
      <c r="H227" s="172"/>
      <c r="I227" s="62"/>
      <c r="J227" s="62">
        <f>C227*104.6%</f>
        <v>0</v>
      </c>
      <c r="K227" s="62">
        <f t="shared" ref="K227" si="207">J227*104.6%</f>
        <v>0</v>
      </c>
      <c r="L227" s="67"/>
      <c r="M227" s="67"/>
      <c r="N227" s="67"/>
      <c r="O227" s="76"/>
      <c r="P227" s="76"/>
    </row>
    <row r="228" spans="1:16" s="77" customFormat="1" ht="13.5" thickBot="1" x14ac:dyDescent="0.35">
      <c r="A228" s="70" t="s">
        <v>695</v>
      </c>
      <c r="B228" s="70"/>
      <c r="C228" s="72">
        <f>C226+C156+C127+C37+C172</f>
        <v>18319544.736889586</v>
      </c>
      <c r="D228" s="72">
        <f>D226+D156+D127+D37+D172</f>
        <v>645000</v>
      </c>
      <c r="E228" s="72">
        <f>E226+E156+E127+E37+E172</f>
        <v>18964544.736889586</v>
      </c>
      <c r="F228" s="72">
        <f>F226+F156+F127+F37+F187</f>
        <v>4327000</v>
      </c>
      <c r="G228" s="72">
        <f>G226+G156+G127+G37+G187</f>
        <v>23291544.736889582</v>
      </c>
      <c r="H228" s="177">
        <f t="shared" ref="H228:N228" si="208">H226+H156+H127+H37+H187</f>
        <v>-4474269.0436885403</v>
      </c>
      <c r="I228" s="72">
        <f t="shared" si="208"/>
        <v>18817275.693201043</v>
      </c>
      <c r="J228" s="72">
        <f t="shared" si="208"/>
        <v>19166252.066148303</v>
      </c>
      <c r="K228" s="72">
        <f t="shared" si="208"/>
        <v>20052124.379206467</v>
      </c>
      <c r="L228" s="72">
        <f t="shared" si="208"/>
        <v>7004327.4299999997</v>
      </c>
      <c r="M228" s="72">
        <f t="shared" si="208"/>
        <v>34070.5</v>
      </c>
      <c r="N228" s="72">
        <f t="shared" si="208"/>
        <v>11778877.763201043</v>
      </c>
      <c r="O228" s="76"/>
      <c r="P228" s="76"/>
    </row>
    <row r="229" spans="1:16" ht="14" thickTop="1" thickBot="1" x14ac:dyDescent="0.35">
      <c r="A229" s="73"/>
      <c r="B229" s="73"/>
      <c r="C229" s="79"/>
      <c r="D229" s="79"/>
      <c r="E229" s="53">
        <f t="shared" si="194"/>
        <v>0</v>
      </c>
      <c r="F229" s="79"/>
      <c r="G229" s="79"/>
      <c r="H229" s="174"/>
      <c r="I229" s="79"/>
      <c r="J229" s="79"/>
      <c r="K229" s="79"/>
      <c r="L229" s="53"/>
      <c r="M229" s="53"/>
      <c r="N229" s="53"/>
    </row>
    <row r="230" spans="1:16" s="77" customFormat="1" ht="14" thickTop="1" thickBot="1" x14ac:dyDescent="0.35">
      <c r="A230" s="102" t="s">
        <v>696</v>
      </c>
      <c r="B230" s="102"/>
      <c r="C230" s="103">
        <f>C228+C13+C136</f>
        <v>16402544.736889586</v>
      </c>
      <c r="D230" s="103">
        <f>D228+D13+D136</f>
        <v>646000</v>
      </c>
      <c r="E230" s="103">
        <f>E228+E13+E136</f>
        <v>17048544.736889586</v>
      </c>
      <c r="F230" s="103">
        <f>F228+F13+F136</f>
        <v>4327000</v>
      </c>
      <c r="G230" s="103">
        <f>G228+G13+G136+G164</f>
        <v>-9146455.2631104179</v>
      </c>
      <c r="H230" s="196">
        <f t="shared" ref="H230:N230" si="209">H228+H13+H136+H164</f>
        <v>-4407747.3436885402</v>
      </c>
      <c r="I230" s="103">
        <f t="shared" si="209"/>
        <v>-13554202.606798958</v>
      </c>
      <c r="J230" s="103">
        <f t="shared" si="209"/>
        <v>17151652.066148303</v>
      </c>
      <c r="K230" s="103">
        <f t="shared" si="209"/>
        <v>17938712.779206466</v>
      </c>
      <c r="L230" s="103">
        <f t="shared" si="209"/>
        <v>5407966.1399999987</v>
      </c>
      <c r="M230" s="103">
        <f t="shared" si="209"/>
        <v>34070.5</v>
      </c>
      <c r="N230" s="103">
        <f t="shared" si="209"/>
        <v>-18996239.246798955</v>
      </c>
      <c r="O230" s="76"/>
      <c r="P230" s="76"/>
    </row>
    <row r="231" spans="1:16" ht="13.5" thickTop="1" x14ac:dyDescent="0.3"/>
  </sheetData>
  <sortState xmlns:xlrd2="http://schemas.microsoft.com/office/spreadsheetml/2017/richdata2" ref="A137:AD161">
    <sortCondition ref="B137:B161"/>
  </sortState>
  <mergeCells count="1">
    <mergeCell ref="A2:K2"/>
  </mergeCells>
  <printOptions gridLines="1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rowBreaks count="2" manualBreakCount="2">
    <brk id="42" max="10" man="1"/>
    <brk id="56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6"/>
  <sheetViews>
    <sheetView zoomScale="80" zoomScaleNormal="80" workbookViewId="0">
      <selection activeCell="C6" sqref="C6:C7"/>
    </sheetView>
  </sheetViews>
  <sheetFormatPr defaultRowHeight="14.5" x14ac:dyDescent="0.35"/>
  <cols>
    <col min="1" max="1" width="44.1796875" bestFit="1" customWidth="1"/>
    <col min="2" max="2" width="80.26953125" customWidth="1"/>
    <col min="3" max="3" width="18.453125" bestFit="1" customWidth="1"/>
    <col min="4" max="4" width="18.7265625" bestFit="1" customWidth="1"/>
    <col min="5" max="5" width="12.54296875" customWidth="1"/>
    <col min="6" max="8" width="16.26953125" bestFit="1" customWidth="1"/>
  </cols>
  <sheetData>
    <row r="1" spans="1:8" ht="43.5" x14ac:dyDescent="0.35">
      <c r="A1" s="10" t="s">
        <v>0</v>
      </c>
      <c r="B1" s="10" t="s">
        <v>1</v>
      </c>
      <c r="C1" s="11" t="s">
        <v>2</v>
      </c>
      <c r="D1" s="12" t="s">
        <v>3</v>
      </c>
      <c r="E1" s="12" t="s">
        <v>4</v>
      </c>
      <c r="F1" s="11" t="s">
        <v>5</v>
      </c>
      <c r="G1" s="11" t="s">
        <v>6</v>
      </c>
      <c r="H1" s="11" t="s">
        <v>7</v>
      </c>
    </row>
    <row r="2" spans="1:8" x14ac:dyDescent="0.35">
      <c r="A2" s="250"/>
      <c r="B2" s="250"/>
      <c r="C2" s="250"/>
      <c r="D2" s="250"/>
      <c r="E2" s="250"/>
      <c r="F2" s="250"/>
      <c r="G2" s="250"/>
      <c r="H2" s="250"/>
    </row>
    <row r="3" spans="1:8" x14ac:dyDescent="0.35">
      <c r="A3" s="2"/>
      <c r="B3" s="4"/>
      <c r="C3" s="5"/>
      <c r="D3" s="5"/>
      <c r="E3" s="5"/>
      <c r="F3" s="5"/>
      <c r="G3" s="5"/>
      <c r="H3" s="5"/>
    </row>
    <row r="4" spans="1:8" x14ac:dyDescent="0.35">
      <c r="A4" s="4"/>
      <c r="B4" s="4"/>
      <c r="C4" s="5"/>
      <c r="D4" s="5"/>
      <c r="E4" s="5"/>
      <c r="F4" s="5"/>
      <c r="G4" s="5"/>
      <c r="H4" s="5"/>
    </row>
    <row r="5" spans="1:8" x14ac:dyDescent="0.35">
      <c r="A5" s="4"/>
      <c r="B5" s="4"/>
      <c r="C5" s="5"/>
      <c r="D5" s="5"/>
      <c r="E5" s="5"/>
      <c r="F5" s="5"/>
      <c r="G5" s="5"/>
      <c r="H5" s="5"/>
    </row>
    <row r="6" spans="1:8" x14ac:dyDescent="0.35">
      <c r="A6" s="4"/>
      <c r="B6" s="4"/>
      <c r="C6" s="5"/>
      <c r="D6" s="5"/>
      <c r="E6" s="5"/>
      <c r="F6" s="5"/>
      <c r="G6" s="5"/>
      <c r="H6" s="5"/>
    </row>
    <row r="7" spans="1:8" x14ac:dyDescent="0.35">
      <c r="A7" s="2"/>
      <c r="B7" s="2"/>
      <c r="C7" s="3"/>
      <c r="D7" s="3"/>
      <c r="E7" s="3"/>
      <c r="F7" s="3"/>
      <c r="G7" s="3"/>
      <c r="H7" s="3"/>
    </row>
    <row r="8" spans="1:8" x14ac:dyDescent="0.35">
      <c r="A8" s="2"/>
      <c r="B8" s="2"/>
      <c r="C8" s="3"/>
      <c r="D8" s="3"/>
      <c r="E8" s="3"/>
      <c r="F8" s="3"/>
      <c r="G8" s="3"/>
      <c r="H8" s="3"/>
    </row>
    <row r="9" spans="1:8" x14ac:dyDescent="0.35">
      <c r="A9" s="2"/>
      <c r="B9" s="4"/>
      <c r="C9" s="5"/>
      <c r="D9" s="5"/>
      <c r="E9" s="5"/>
      <c r="F9" s="5"/>
      <c r="G9" s="5"/>
      <c r="H9" s="5"/>
    </row>
    <row r="10" spans="1:8" x14ac:dyDescent="0.35">
      <c r="A10" s="4"/>
      <c r="B10" s="4"/>
      <c r="C10" s="5"/>
      <c r="D10" s="5"/>
      <c r="E10" s="5"/>
      <c r="F10" s="5"/>
      <c r="G10" s="5"/>
      <c r="H10" s="5"/>
    </row>
    <row r="11" spans="1:8" x14ac:dyDescent="0.35">
      <c r="A11" s="2"/>
      <c r="B11" s="2"/>
      <c r="C11" s="3"/>
      <c r="D11" s="3"/>
      <c r="E11" s="3"/>
      <c r="F11" s="3"/>
      <c r="G11" s="3"/>
      <c r="H11" s="3"/>
    </row>
    <row r="12" spans="1:8" x14ac:dyDescent="0.35">
      <c r="A12" s="2"/>
      <c r="B12" s="2"/>
      <c r="C12" s="3"/>
      <c r="D12" s="3"/>
      <c r="E12" s="3"/>
      <c r="F12" s="3"/>
      <c r="G12" s="3"/>
      <c r="H12" s="3"/>
    </row>
    <row r="13" spans="1:8" x14ac:dyDescent="0.35">
      <c r="A13" s="2"/>
      <c r="B13" s="4"/>
      <c r="C13" s="5"/>
      <c r="D13" s="5"/>
      <c r="E13" s="5"/>
      <c r="F13" s="5"/>
      <c r="G13" s="5"/>
      <c r="H13" s="5"/>
    </row>
    <row r="14" spans="1:8" x14ac:dyDescent="0.35">
      <c r="A14" s="4"/>
      <c r="B14" s="4"/>
      <c r="C14" s="5"/>
      <c r="D14" s="5"/>
      <c r="E14" s="5"/>
      <c r="F14" s="5"/>
      <c r="G14" s="5"/>
      <c r="H14" s="5"/>
    </row>
    <row r="15" spans="1:8" x14ac:dyDescent="0.35">
      <c r="A15" s="4"/>
      <c r="B15" s="4"/>
      <c r="C15" s="5"/>
      <c r="D15" s="5"/>
      <c r="E15" s="5"/>
      <c r="F15" s="5"/>
      <c r="G15" s="5"/>
      <c r="H15" s="5"/>
    </row>
    <row r="16" spans="1:8" x14ac:dyDescent="0.35">
      <c r="A16" s="4"/>
      <c r="B16" s="4"/>
      <c r="C16" s="5"/>
      <c r="D16" s="5"/>
      <c r="E16" s="5"/>
      <c r="F16" s="5"/>
      <c r="G16" s="5"/>
      <c r="H16" s="5"/>
    </row>
    <row r="17" spans="1:8" x14ac:dyDescent="0.35">
      <c r="A17" s="2"/>
      <c r="B17" s="2"/>
      <c r="C17" s="3"/>
      <c r="D17" s="3"/>
      <c r="E17" s="3"/>
      <c r="F17" s="3"/>
      <c r="G17" s="3"/>
      <c r="H17" s="3"/>
    </row>
    <row r="18" spans="1:8" x14ac:dyDescent="0.35">
      <c r="A18" s="2"/>
      <c r="B18" s="2"/>
      <c r="C18" s="3"/>
      <c r="D18" s="3"/>
      <c r="E18" s="3"/>
      <c r="F18" s="3"/>
      <c r="G18" s="3"/>
      <c r="H18" s="3"/>
    </row>
    <row r="19" spans="1:8" x14ac:dyDescent="0.35">
      <c r="A19" s="2"/>
      <c r="B19" s="4"/>
      <c r="C19" s="5"/>
      <c r="D19" s="5"/>
      <c r="E19" s="5"/>
      <c r="F19" s="5"/>
      <c r="G19" s="5"/>
      <c r="H19" s="5"/>
    </row>
    <row r="20" spans="1:8" x14ac:dyDescent="0.35">
      <c r="A20" s="4"/>
      <c r="B20" s="4"/>
      <c r="C20" s="5"/>
      <c r="D20" s="5"/>
      <c r="E20" s="5"/>
      <c r="F20" s="5"/>
      <c r="G20" s="5"/>
      <c r="H20" s="5"/>
    </row>
    <row r="21" spans="1:8" x14ac:dyDescent="0.35">
      <c r="A21" s="4"/>
      <c r="B21" s="4"/>
      <c r="C21" s="5"/>
      <c r="D21" s="5"/>
      <c r="E21" s="5"/>
      <c r="F21" s="5"/>
      <c r="G21" s="5"/>
      <c r="H21" s="5"/>
    </row>
    <row r="22" spans="1:8" x14ac:dyDescent="0.35">
      <c r="A22" s="4"/>
      <c r="B22" s="4"/>
      <c r="C22" s="5"/>
      <c r="D22" s="5"/>
      <c r="E22" s="5"/>
      <c r="F22" s="5"/>
      <c r="G22" s="5"/>
      <c r="H22" s="5"/>
    </row>
    <row r="23" spans="1:8" x14ac:dyDescent="0.35">
      <c r="A23" s="4"/>
      <c r="B23" s="4"/>
      <c r="C23" s="5"/>
      <c r="D23" s="5"/>
      <c r="E23" s="5"/>
      <c r="F23" s="5"/>
      <c r="G23" s="5"/>
      <c r="H23" s="5"/>
    </row>
    <row r="24" spans="1:8" x14ac:dyDescent="0.35">
      <c r="A24" s="2"/>
      <c r="B24" s="2"/>
      <c r="C24" s="3"/>
      <c r="D24" s="3"/>
      <c r="E24" s="3"/>
      <c r="F24" s="3"/>
      <c r="G24" s="3"/>
      <c r="H24" s="3"/>
    </row>
    <row r="25" spans="1:8" x14ac:dyDescent="0.35">
      <c r="A25" s="2"/>
      <c r="B25" s="2"/>
      <c r="C25" s="3"/>
      <c r="D25" s="3"/>
      <c r="E25" s="3"/>
      <c r="F25" s="3"/>
      <c r="G25" s="3"/>
      <c r="H25" s="3"/>
    </row>
    <row r="26" spans="1:8" x14ac:dyDescent="0.35">
      <c r="A26" s="2"/>
      <c r="B26" s="4"/>
      <c r="C26" s="5"/>
      <c r="D26" s="5"/>
      <c r="E26" s="5"/>
      <c r="F26" s="5"/>
      <c r="G26" s="5"/>
      <c r="H26" s="5"/>
    </row>
    <row r="27" spans="1:8" x14ac:dyDescent="0.35">
      <c r="A27" s="4"/>
      <c r="B27" s="4"/>
      <c r="C27" s="5"/>
      <c r="D27" s="5"/>
      <c r="E27" s="5"/>
      <c r="F27" s="5"/>
      <c r="G27" s="5"/>
      <c r="H27" s="5"/>
    </row>
    <row r="28" spans="1:8" x14ac:dyDescent="0.35">
      <c r="A28" s="4"/>
      <c r="B28" s="4"/>
      <c r="C28" s="5"/>
      <c r="D28" s="5"/>
      <c r="E28" s="5"/>
      <c r="F28" s="5"/>
      <c r="G28" s="5"/>
      <c r="H28" s="5"/>
    </row>
    <row r="29" spans="1:8" x14ac:dyDescent="0.35">
      <c r="A29" s="4"/>
      <c r="B29" s="4"/>
      <c r="C29" s="5"/>
      <c r="D29" s="5"/>
      <c r="E29" s="5"/>
      <c r="F29" s="5"/>
      <c r="G29" s="5"/>
      <c r="H29" s="5"/>
    </row>
    <row r="30" spans="1:8" x14ac:dyDescent="0.35">
      <c r="A30" s="2"/>
      <c r="B30" s="2"/>
      <c r="C30" s="3"/>
      <c r="D30" s="3"/>
      <c r="E30" s="3"/>
      <c r="F30" s="3"/>
      <c r="G30" s="3"/>
      <c r="H30" s="3"/>
    </row>
    <row r="31" spans="1:8" x14ac:dyDescent="0.35">
      <c r="A31" s="2"/>
      <c r="B31" s="2"/>
      <c r="C31" s="3"/>
      <c r="D31" s="3"/>
      <c r="E31" s="3"/>
      <c r="F31" s="3"/>
      <c r="G31" s="3"/>
      <c r="H31" s="3"/>
    </row>
    <row r="32" spans="1:8" x14ac:dyDescent="0.35">
      <c r="A32" s="2"/>
      <c r="B32" s="4"/>
      <c r="C32" s="5"/>
      <c r="D32" s="5"/>
      <c r="E32" s="5"/>
      <c r="F32" s="5"/>
      <c r="G32" s="5"/>
      <c r="H32" s="5"/>
    </row>
    <row r="33" spans="1:8" x14ac:dyDescent="0.35">
      <c r="A33" s="4"/>
      <c r="B33" s="4"/>
      <c r="C33" s="5"/>
      <c r="D33" s="5"/>
      <c r="E33" s="5"/>
      <c r="F33" s="5"/>
      <c r="G33" s="5"/>
      <c r="H33" s="5"/>
    </row>
    <row r="34" spans="1:8" x14ac:dyDescent="0.35">
      <c r="A34" s="4"/>
      <c r="B34" s="4"/>
      <c r="C34" s="5"/>
      <c r="D34" s="5"/>
      <c r="E34" s="5"/>
      <c r="F34" s="5"/>
      <c r="G34" s="5"/>
      <c r="H34" s="5"/>
    </row>
    <row r="35" spans="1:8" x14ac:dyDescent="0.35">
      <c r="A35" s="2"/>
      <c r="B35" s="2"/>
      <c r="C35" s="3"/>
      <c r="D35" s="3"/>
      <c r="E35" s="3"/>
      <c r="F35" s="3"/>
      <c r="G35" s="3"/>
      <c r="H35" s="3"/>
    </row>
    <row r="36" spans="1:8" x14ac:dyDescent="0.35">
      <c r="A36" s="2"/>
      <c r="B36" s="2"/>
      <c r="C36" s="3"/>
      <c r="D36" s="3"/>
      <c r="E36" s="3"/>
      <c r="F36" s="3"/>
      <c r="G36" s="3"/>
      <c r="H36" s="3"/>
    </row>
    <row r="37" spans="1:8" x14ac:dyDescent="0.35">
      <c r="A37" s="2"/>
      <c r="B37" s="4"/>
      <c r="C37" s="5"/>
      <c r="D37" s="5"/>
      <c r="E37" s="5"/>
      <c r="F37" s="5"/>
      <c r="G37" s="5"/>
      <c r="H37" s="5"/>
    </row>
    <row r="38" spans="1:8" x14ac:dyDescent="0.35">
      <c r="A38" s="4"/>
      <c r="B38" s="9"/>
      <c r="C38" s="5"/>
      <c r="D38" s="5"/>
      <c r="E38" s="5"/>
      <c r="F38" s="5"/>
      <c r="G38" s="5"/>
      <c r="H38" s="5"/>
    </row>
    <row r="39" spans="1:8" x14ac:dyDescent="0.35">
      <c r="A39" s="4"/>
      <c r="B39" s="9"/>
      <c r="C39" s="5"/>
      <c r="D39" s="5"/>
      <c r="E39" s="5"/>
      <c r="F39" s="5"/>
      <c r="G39" s="5"/>
      <c r="H39" s="5"/>
    </row>
    <row r="40" spans="1:8" x14ac:dyDescent="0.35">
      <c r="A40" s="4"/>
      <c r="B40" s="4"/>
      <c r="C40" s="5"/>
      <c r="D40" s="5"/>
      <c r="E40" s="5"/>
      <c r="F40" s="5"/>
      <c r="G40" s="5"/>
      <c r="H40" s="5"/>
    </row>
    <row r="41" spans="1:8" x14ac:dyDescent="0.35">
      <c r="A41" s="4"/>
      <c r="B41" s="9"/>
      <c r="C41" s="5"/>
      <c r="D41" s="5"/>
      <c r="E41" s="5"/>
      <c r="F41" s="5"/>
      <c r="G41" s="5"/>
      <c r="H41" s="5"/>
    </row>
    <row r="42" spans="1:8" x14ac:dyDescent="0.35">
      <c r="A42" s="4"/>
      <c r="B42" s="4"/>
      <c r="C42" s="5"/>
      <c r="D42" s="5"/>
      <c r="E42" s="5"/>
      <c r="F42" s="5"/>
      <c r="G42" s="5"/>
      <c r="H42" s="5"/>
    </row>
    <row r="43" spans="1:8" x14ac:dyDescent="0.35">
      <c r="A43" s="4"/>
      <c r="B43" s="9"/>
      <c r="C43" s="5"/>
      <c r="D43" s="5"/>
      <c r="E43" s="5"/>
      <c r="F43" s="5"/>
      <c r="G43" s="5"/>
      <c r="H43" s="5"/>
    </row>
    <row r="44" spans="1:8" x14ac:dyDescent="0.35">
      <c r="A44" s="4"/>
      <c r="B44" s="4"/>
      <c r="C44" s="5"/>
      <c r="D44" s="5"/>
      <c r="E44" s="5"/>
      <c r="F44" s="5"/>
      <c r="G44" s="5"/>
      <c r="H44" s="5"/>
    </row>
    <row r="45" spans="1:8" x14ac:dyDescent="0.35">
      <c r="A45" s="4"/>
      <c r="B45" s="9"/>
      <c r="C45" s="5"/>
      <c r="D45" s="5"/>
      <c r="E45" s="5"/>
      <c r="F45" s="5"/>
      <c r="G45" s="5"/>
      <c r="H45" s="5"/>
    </row>
    <row r="46" spans="1:8" x14ac:dyDescent="0.35">
      <c r="A46" s="4"/>
      <c r="B46" s="4"/>
      <c r="C46" s="5"/>
      <c r="D46" s="5"/>
      <c r="E46" s="5"/>
      <c r="F46" s="5"/>
      <c r="G46" s="5"/>
      <c r="H46" s="5"/>
    </row>
    <row r="47" spans="1:8" x14ac:dyDescent="0.35">
      <c r="A47" s="4"/>
      <c r="B47" s="9"/>
      <c r="C47" s="5"/>
      <c r="D47" s="5"/>
      <c r="E47" s="5"/>
      <c r="F47" s="5"/>
      <c r="G47" s="5"/>
      <c r="H47" s="5"/>
    </row>
    <row r="48" spans="1:8" x14ac:dyDescent="0.35">
      <c r="A48" s="4"/>
      <c r="B48" s="9"/>
      <c r="C48" s="5"/>
      <c r="D48" s="5"/>
      <c r="E48" s="5"/>
      <c r="F48" s="5"/>
      <c r="G48" s="5"/>
      <c r="H48" s="5"/>
    </row>
    <row r="49" spans="1:8" x14ac:dyDescent="0.35">
      <c r="A49" s="4"/>
      <c r="B49" s="4"/>
      <c r="C49" s="5"/>
      <c r="D49" s="5"/>
      <c r="E49" s="5"/>
      <c r="F49" s="5"/>
      <c r="G49" s="5"/>
      <c r="H49" s="5"/>
    </row>
    <row r="50" spans="1:8" x14ac:dyDescent="0.35">
      <c r="A50" s="4"/>
      <c r="B50" s="4"/>
      <c r="C50" s="5"/>
      <c r="D50" s="5"/>
      <c r="E50" s="5"/>
      <c r="F50" s="5"/>
      <c r="G50" s="5"/>
      <c r="H50" s="5"/>
    </row>
    <row r="51" spans="1:8" x14ac:dyDescent="0.35">
      <c r="A51" s="4"/>
      <c r="B51" s="9"/>
      <c r="C51" s="5"/>
      <c r="D51" s="5"/>
      <c r="E51" s="5"/>
      <c r="F51" s="5"/>
      <c r="G51" s="5"/>
      <c r="H51" s="5"/>
    </row>
    <row r="52" spans="1:8" x14ac:dyDescent="0.35">
      <c r="A52" s="4"/>
      <c r="B52" s="4"/>
      <c r="C52" s="5"/>
      <c r="D52" s="5"/>
      <c r="E52" s="5"/>
      <c r="F52" s="5"/>
      <c r="G52" s="5"/>
      <c r="H52" s="5"/>
    </row>
    <row r="53" spans="1:8" x14ac:dyDescent="0.35">
      <c r="A53" s="4"/>
      <c r="B53" s="9"/>
      <c r="C53" s="5"/>
      <c r="D53" s="5"/>
      <c r="E53" s="5"/>
      <c r="F53" s="5"/>
      <c r="G53" s="5"/>
      <c r="H53" s="5"/>
    </row>
    <row r="54" spans="1:8" x14ac:dyDescent="0.35">
      <c r="A54" s="4"/>
      <c r="B54" s="4"/>
      <c r="C54" s="5"/>
      <c r="D54" s="5"/>
      <c r="E54" s="5"/>
      <c r="F54" s="5"/>
      <c r="G54" s="5"/>
      <c r="H54" s="5"/>
    </row>
    <row r="55" spans="1:8" x14ac:dyDescent="0.35">
      <c r="A55" s="4"/>
      <c r="B55" s="4"/>
      <c r="C55" s="5"/>
      <c r="D55" s="5"/>
      <c r="E55" s="5"/>
      <c r="F55" s="5"/>
      <c r="G55" s="5"/>
      <c r="H55" s="5"/>
    </row>
    <row r="56" spans="1:8" x14ac:dyDescent="0.35">
      <c r="A56" s="4"/>
      <c r="B56" s="4"/>
      <c r="C56" s="5"/>
      <c r="D56" s="5"/>
      <c r="E56" s="5"/>
      <c r="F56" s="5"/>
      <c r="G56" s="5"/>
      <c r="H56" s="5"/>
    </row>
    <row r="57" spans="1:8" x14ac:dyDescent="0.35">
      <c r="A57" s="4"/>
      <c r="B57" s="4"/>
      <c r="C57" s="5"/>
      <c r="D57" s="5"/>
      <c r="E57" s="5"/>
      <c r="F57" s="5"/>
      <c r="G57" s="5"/>
      <c r="H57" s="5"/>
    </row>
    <row r="58" spans="1:8" x14ac:dyDescent="0.35">
      <c r="A58" s="4"/>
      <c r="B58" s="4"/>
      <c r="C58" s="5"/>
      <c r="D58" s="5"/>
      <c r="E58" s="5"/>
      <c r="F58" s="5"/>
      <c r="G58" s="5"/>
      <c r="H58" s="5"/>
    </row>
    <row r="59" spans="1:8" x14ac:dyDescent="0.35">
      <c r="A59" s="4"/>
      <c r="B59" s="4"/>
      <c r="C59" s="5"/>
      <c r="D59" s="5"/>
      <c r="E59" s="5"/>
      <c r="F59" s="5"/>
      <c r="G59" s="5"/>
      <c r="H59" s="5"/>
    </row>
    <row r="60" spans="1:8" x14ac:dyDescent="0.35">
      <c r="A60" s="4"/>
      <c r="B60" s="4"/>
      <c r="C60" s="5"/>
      <c r="D60" s="5"/>
      <c r="E60" s="5"/>
      <c r="F60" s="5"/>
      <c r="G60" s="5"/>
      <c r="H60" s="5"/>
    </row>
    <row r="61" spans="1:8" x14ac:dyDescent="0.35">
      <c r="A61" s="4"/>
      <c r="B61" s="4"/>
      <c r="C61" s="5"/>
      <c r="D61" s="5"/>
      <c r="E61" s="5"/>
      <c r="F61" s="5"/>
      <c r="G61" s="5"/>
      <c r="H61" s="5"/>
    </row>
    <row r="62" spans="1:8" x14ac:dyDescent="0.35">
      <c r="A62" s="14"/>
      <c r="B62" s="14"/>
      <c r="C62" s="15"/>
      <c r="D62" s="15"/>
      <c r="E62" s="15"/>
      <c r="F62" s="15"/>
      <c r="G62" s="15"/>
      <c r="H62" s="15"/>
    </row>
    <row r="63" spans="1:8" x14ac:dyDescent="0.35">
      <c r="A63" s="14"/>
      <c r="B63" s="14"/>
      <c r="C63" s="15"/>
      <c r="D63" s="15"/>
      <c r="E63" s="15"/>
      <c r="F63" s="15"/>
      <c r="G63" s="15"/>
      <c r="H63" s="15"/>
    </row>
    <row r="64" spans="1:8" x14ac:dyDescent="0.35">
      <c r="A64" s="2"/>
      <c r="B64" s="4"/>
      <c r="C64" s="5"/>
      <c r="D64" s="5"/>
      <c r="E64" s="5"/>
      <c r="F64" s="5"/>
      <c r="G64" s="5"/>
      <c r="H64" s="5"/>
    </row>
    <row r="65" spans="1:8" x14ac:dyDescent="0.35">
      <c r="A65" s="4"/>
      <c r="B65" s="4"/>
      <c r="C65" s="5"/>
      <c r="D65" s="5"/>
      <c r="E65" s="5"/>
      <c r="F65" s="5"/>
      <c r="G65" s="5"/>
      <c r="H65" s="5"/>
    </row>
    <row r="66" spans="1:8" x14ac:dyDescent="0.35">
      <c r="A66" s="4"/>
      <c r="B66" s="4"/>
      <c r="C66" s="5"/>
      <c r="D66" s="5"/>
      <c r="E66" s="5"/>
      <c r="F66" s="5"/>
      <c r="G66" s="5"/>
      <c r="H66" s="5"/>
    </row>
    <row r="67" spans="1:8" x14ac:dyDescent="0.35">
      <c r="A67" s="4"/>
      <c r="B67" s="4"/>
      <c r="C67" s="5"/>
      <c r="D67" s="5"/>
      <c r="E67" s="5"/>
      <c r="F67" s="5"/>
      <c r="G67" s="5"/>
      <c r="H67" s="5"/>
    </row>
    <row r="68" spans="1:8" x14ac:dyDescent="0.35">
      <c r="A68" s="4"/>
      <c r="B68" s="4"/>
      <c r="C68" s="5"/>
      <c r="D68" s="5"/>
      <c r="E68" s="5"/>
      <c r="F68" s="5"/>
      <c r="G68" s="5"/>
      <c r="H68" s="5"/>
    </row>
    <row r="69" spans="1:8" x14ac:dyDescent="0.35">
      <c r="A69" s="4"/>
      <c r="B69" s="4"/>
      <c r="C69" s="5"/>
      <c r="D69" s="5"/>
      <c r="E69" s="5"/>
      <c r="F69" s="5"/>
      <c r="G69" s="5"/>
      <c r="H69" s="5"/>
    </row>
    <row r="70" spans="1:8" x14ac:dyDescent="0.35">
      <c r="A70" s="4"/>
      <c r="B70" s="4"/>
      <c r="C70" s="5"/>
      <c r="D70" s="5"/>
      <c r="E70" s="5"/>
      <c r="F70" s="5"/>
      <c r="G70" s="5"/>
      <c r="H70" s="5"/>
    </row>
    <row r="71" spans="1:8" x14ac:dyDescent="0.35">
      <c r="A71" s="4"/>
      <c r="B71" s="4"/>
      <c r="C71" s="5"/>
      <c r="D71" s="5"/>
      <c r="E71" s="5"/>
      <c r="F71" s="5"/>
      <c r="G71" s="5"/>
      <c r="H71" s="5"/>
    </row>
    <row r="72" spans="1:8" x14ac:dyDescent="0.35">
      <c r="A72" s="4"/>
      <c r="B72" s="4"/>
      <c r="C72" s="5"/>
      <c r="D72" s="5"/>
      <c r="E72" s="5"/>
      <c r="F72" s="5"/>
      <c r="G72" s="5"/>
      <c r="H72" s="5"/>
    </row>
    <row r="73" spans="1:8" x14ac:dyDescent="0.35">
      <c r="A73" s="4"/>
      <c r="B73" s="4"/>
      <c r="C73" s="5"/>
      <c r="D73" s="5"/>
      <c r="E73" s="5"/>
      <c r="F73" s="5"/>
      <c r="G73" s="5"/>
      <c r="H73" s="5"/>
    </row>
    <row r="74" spans="1:8" x14ac:dyDescent="0.35">
      <c r="A74" s="4"/>
      <c r="B74" s="4"/>
      <c r="C74" s="5"/>
      <c r="D74" s="5"/>
      <c r="E74" s="5"/>
      <c r="F74" s="5"/>
      <c r="G74" s="5"/>
      <c r="H74" s="5"/>
    </row>
    <row r="75" spans="1:8" x14ac:dyDescent="0.35">
      <c r="A75" s="4"/>
      <c r="B75" s="4"/>
      <c r="C75" s="5"/>
      <c r="D75" s="5"/>
      <c r="E75" s="5"/>
      <c r="F75" s="5"/>
      <c r="G75" s="5"/>
      <c r="H75" s="5"/>
    </row>
    <row r="76" spans="1:8" x14ac:dyDescent="0.35">
      <c r="A76" s="4"/>
      <c r="B76" s="4"/>
      <c r="C76" s="5"/>
      <c r="D76" s="5"/>
      <c r="E76" s="5"/>
      <c r="F76" s="5"/>
      <c r="G76" s="5"/>
      <c r="H76" s="5"/>
    </row>
    <row r="77" spans="1:8" x14ac:dyDescent="0.35">
      <c r="A77" s="4"/>
      <c r="B77" s="4"/>
      <c r="C77" s="5"/>
      <c r="D77" s="5"/>
      <c r="E77" s="5"/>
      <c r="F77" s="5"/>
      <c r="G77" s="5"/>
      <c r="H77" s="5"/>
    </row>
    <row r="78" spans="1:8" x14ac:dyDescent="0.35">
      <c r="A78" s="4"/>
      <c r="B78" s="4"/>
      <c r="C78" s="5"/>
      <c r="D78" s="5"/>
      <c r="E78" s="5"/>
      <c r="F78" s="5"/>
      <c r="G78" s="5"/>
      <c r="H78" s="5"/>
    </row>
    <row r="79" spans="1:8" x14ac:dyDescent="0.35">
      <c r="A79" s="4"/>
      <c r="B79" s="4"/>
      <c r="C79" s="5"/>
      <c r="D79" s="5"/>
      <c r="E79" s="5"/>
      <c r="F79" s="5"/>
      <c r="G79" s="5"/>
      <c r="H79" s="5"/>
    </row>
    <row r="80" spans="1:8" x14ac:dyDescent="0.35">
      <c r="A80" s="2"/>
      <c r="B80" s="2"/>
      <c r="C80" s="3"/>
      <c r="D80" s="3"/>
      <c r="E80" s="3"/>
      <c r="F80" s="3"/>
      <c r="G80" s="3"/>
      <c r="H80" s="3"/>
    </row>
    <row r="81" spans="1:8" x14ac:dyDescent="0.35">
      <c r="A81" s="2"/>
      <c r="B81" s="2"/>
      <c r="C81" s="3"/>
      <c r="D81" s="3"/>
      <c r="E81" s="3"/>
      <c r="F81" s="3"/>
      <c r="G81" s="3"/>
      <c r="H81" s="3"/>
    </row>
    <row r="82" spans="1:8" x14ac:dyDescent="0.35">
      <c r="A82" s="2"/>
      <c r="B82" s="2"/>
      <c r="C82" s="3"/>
      <c r="D82" s="3"/>
      <c r="E82" s="3"/>
      <c r="F82" s="3"/>
      <c r="G82" s="3"/>
      <c r="H82" s="3"/>
    </row>
    <row r="83" spans="1:8" x14ac:dyDescent="0.35">
      <c r="A83" s="2"/>
      <c r="B83" s="2"/>
      <c r="C83" s="3"/>
      <c r="D83" s="3"/>
      <c r="E83" s="3"/>
      <c r="F83" s="3"/>
      <c r="G83" s="3"/>
      <c r="H83" s="3"/>
    </row>
    <row r="84" spans="1:8" x14ac:dyDescent="0.35">
      <c r="A84" s="2"/>
      <c r="B84" s="2"/>
      <c r="C84" s="3"/>
      <c r="D84" s="3"/>
      <c r="E84" s="3"/>
      <c r="F84" s="3"/>
      <c r="G84" s="3"/>
      <c r="H84" s="3"/>
    </row>
    <row r="85" spans="1:8" x14ac:dyDescent="0.35">
      <c r="A85" s="251"/>
      <c r="B85" s="251"/>
      <c r="C85" s="251"/>
      <c r="D85" s="251"/>
      <c r="E85" s="251"/>
      <c r="F85" s="251"/>
      <c r="G85" s="251"/>
      <c r="H85" s="251"/>
    </row>
    <row r="86" spans="1:8" x14ac:dyDescent="0.35">
      <c r="A86" s="2"/>
      <c r="B86" s="4"/>
      <c r="C86" s="5"/>
      <c r="D86" s="5"/>
      <c r="E86" s="5"/>
      <c r="F86" s="5"/>
      <c r="G86" s="5"/>
      <c r="H86" s="5"/>
    </row>
    <row r="87" spans="1:8" x14ac:dyDescent="0.35">
      <c r="A87" s="4"/>
      <c r="B87" s="4"/>
      <c r="C87" s="5"/>
      <c r="D87" s="5"/>
      <c r="E87" s="5"/>
      <c r="F87" s="5"/>
      <c r="G87" s="5"/>
      <c r="H87" s="5"/>
    </row>
    <row r="88" spans="1:8" x14ac:dyDescent="0.35">
      <c r="A88" s="2"/>
      <c r="B88" s="2"/>
      <c r="C88" s="3"/>
      <c r="D88" s="3"/>
      <c r="E88" s="3"/>
      <c r="F88" s="3"/>
      <c r="G88" s="3"/>
      <c r="H88" s="3"/>
    </row>
    <row r="89" spans="1:8" x14ac:dyDescent="0.35">
      <c r="A89" s="2"/>
      <c r="B89" s="2"/>
      <c r="C89" s="3"/>
      <c r="D89" s="3"/>
      <c r="E89" s="3"/>
      <c r="F89" s="3"/>
      <c r="G89" s="3"/>
      <c r="H89" s="3"/>
    </row>
    <row r="90" spans="1:8" x14ac:dyDescent="0.35">
      <c r="A90" s="2"/>
      <c r="B90" s="4"/>
      <c r="C90" s="5"/>
      <c r="D90" s="5"/>
      <c r="E90" s="5"/>
      <c r="F90" s="5"/>
      <c r="G90" s="5"/>
      <c r="H90" s="5"/>
    </row>
    <row r="91" spans="1:8" x14ac:dyDescent="0.35">
      <c r="A91" s="4"/>
      <c r="B91" s="4"/>
      <c r="C91" s="5"/>
      <c r="D91" s="5"/>
      <c r="E91" s="5"/>
      <c r="F91" s="5"/>
      <c r="G91" s="5"/>
      <c r="H91" s="5"/>
    </row>
    <row r="92" spans="1:8" x14ac:dyDescent="0.35">
      <c r="A92" s="4"/>
      <c r="B92" s="4"/>
      <c r="C92" s="5"/>
      <c r="D92" s="5"/>
      <c r="E92" s="5"/>
      <c r="F92" s="5"/>
      <c r="G92" s="5"/>
      <c r="H92" s="5"/>
    </row>
    <row r="93" spans="1:8" x14ac:dyDescent="0.35">
      <c r="A93" s="4"/>
      <c r="B93" s="4"/>
      <c r="C93" s="5"/>
      <c r="D93" s="5"/>
      <c r="E93" s="5"/>
      <c r="F93" s="5"/>
      <c r="G93" s="5"/>
      <c r="H93" s="5"/>
    </row>
    <row r="94" spans="1:8" x14ac:dyDescent="0.35">
      <c r="A94" s="4"/>
      <c r="B94" s="4"/>
      <c r="C94" s="5"/>
      <c r="D94" s="5"/>
      <c r="E94" s="5"/>
      <c r="F94" s="5"/>
      <c r="G94" s="5"/>
      <c r="H94" s="5"/>
    </row>
    <row r="95" spans="1:8" x14ac:dyDescent="0.35">
      <c r="A95" s="4"/>
      <c r="B95" s="4"/>
      <c r="C95" s="5"/>
      <c r="D95" s="5"/>
      <c r="E95" s="5"/>
      <c r="F95" s="5"/>
      <c r="G95" s="5"/>
      <c r="H95" s="5"/>
    </row>
    <row r="96" spans="1:8" x14ac:dyDescent="0.35">
      <c r="A96" s="4"/>
      <c r="B96" s="4"/>
      <c r="C96" s="5"/>
      <c r="D96" s="5"/>
      <c r="E96" s="5"/>
      <c r="F96" s="5"/>
      <c r="G96" s="5"/>
      <c r="H96" s="5"/>
    </row>
    <row r="97" spans="1:8" x14ac:dyDescent="0.35">
      <c r="A97" s="4"/>
      <c r="B97" s="4"/>
      <c r="C97" s="5"/>
      <c r="D97" s="5"/>
      <c r="E97" s="5"/>
      <c r="F97" s="5"/>
      <c r="G97" s="5"/>
      <c r="H97" s="5"/>
    </row>
    <row r="98" spans="1:8" x14ac:dyDescent="0.35">
      <c r="A98" s="4"/>
      <c r="B98" s="4"/>
      <c r="C98" s="5"/>
      <c r="D98" s="5"/>
      <c r="E98" s="5"/>
      <c r="F98" s="5"/>
      <c r="G98" s="5"/>
      <c r="H98" s="5"/>
    </row>
    <row r="99" spans="1:8" x14ac:dyDescent="0.35">
      <c r="A99" s="4"/>
      <c r="B99" s="4"/>
      <c r="C99" s="5"/>
      <c r="D99" s="5"/>
      <c r="E99" s="5"/>
      <c r="F99" s="5"/>
      <c r="G99" s="5"/>
      <c r="H99" s="5"/>
    </row>
    <row r="100" spans="1:8" x14ac:dyDescent="0.35">
      <c r="A100" s="4"/>
      <c r="B100" s="4"/>
      <c r="C100" s="5"/>
      <c r="D100" s="5"/>
      <c r="E100" s="5"/>
      <c r="F100" s="5"/>
      <c r="G100" s="5"/>
      <c r="H100" s="5"/>
    </row>
    <row r="101" spans="1:8" x14ac:dyDescent="0.35">
      <c r="A101" s="2"/>
      <c r="B101" s="2"/>
      <c r="C101" s="3"/>
      <c r="D101" s="3"/>
      <c r="E101" s="3"/>
      <c r="F101" s="3"/>
      <c r="G101" s="3"/>
      <c r="H101" s="3"/>
    </row>
    <row r="102" spans="1:8" x14ac:dyDescent="0.35">
      <c r="A102" s="2"/>
      <c r="B102" s="2"/>
      <c r="C102" s="3"/>
      <c r="D102" s="3"/>
      <c r="E102" s="3"/>
      <c r="F102" s="3"/>
      <c r="G102" s="3"/>
      <c r="H102" s="3"/>
    </row>
    <row r="103" spans="1:8" x14ac:dyDescent="0.35">
      <c r="A103" s="2"/>
      <c r="B103" s="4"/>
      <c r="C103" s="5"/>
      <c r="D103" s="5"/>
      <c r="E103" s="5"/>
      <c r="F103" s="5"/>
      <c r="G103" s="5"/>
      <c r="H103" s="5"/>
    </row>
    <row r="104" spans="1:8" x14ac:dyDescent="0.35">
      <c r="A104" s="4"/>
      <c r="B104" s="4"/>
      <c r="C104" s="5"/>
      <c r="D104" s="5"/>
      <c r="E104" s="5"/>
      <c r="F104" s="5"/>
      <c r="G104" s="5"/>
      <c r="H104" s="5"/>
    </row>
    <row r="105" spans="1:8" x14ac:dyDescent="0.35">
      <c r="A105" s="4"/>
      <c r="B105" s="4"/>
      <c r="C105" s="5"/>
      <c r="D105" s="5"/>
      <c r="E105" s="5"/>
      <c r="F105" s="5"/>
      <c r="G105" s="5"/>
      <c r="H105" s="5"/>
    </row>
    <row r="106" spans="1:8" x14ac:dyDescent="0.35">
      <c r="A106" s="4"/>
      <c r="B106" s="4"/>
      <c r="C106" s="5"/>
      <c r="D106" s="5"/>
      <c r="E106" s="5"/>
      <c r="F106" s="5"/>
      <c r="G106" s="5"/>
      <c r="H106" s="5"/>
    </row>
    <row r="107" spans="1:8" x14ac:dyDescent="0.35">
      <c r="A107" s="4"/>
      <c r="B107" s="4"/>
      <c r="C107" s="5"/>
      <c r="D107" s="5"/>
      <c r="E107" s="5"/>
      <c r="F107" s="5"/>
      <c r="G107" s="5"/>
      <c r="H107" s="5"/>
    </row>
    <row r="108" spans="1:8" x14ac:dyDescent="0.35">
      <c r="A108" s="4"/>
      <c r="B108" s="4"/>
      <c r="C108" s="5"/>
      <c r="D108" s="5"/>
      <c r="E108" s="5"/>
      <c r="F108" s="5"/>
      <c r="G108" s="5"/>
      <c r="H108" s="5"/>
    </row>
    <row r="109" spans="1:8" x14ac:dyDescent="0.35">
      <c r="A109" s="4"/>
      <c r="B109" s="4"/>
      <c r="C109" s="5"/>
      <c r="D109" s="5"/>
      <c r="E109" s="5"/>
      <c r="F109" s="5"/>
      <c r="G109" s="5"/>
      <c r="H109" s="5"/>
    </row>
    <row r="110" spans="1:8" x14ac:dyDescent="0.35">
      <c r="A110" s="4"/>
      <c r="B110" s="4"/>
      <c r="C110" s="5"/>
      <c r="D110" s="5"/>
      <c r="E110" s="5"/>
      <c r="F110" s="5"/>
      <c r="G110" s="5"/>
      <c r="H110" s="5"/>
    </row>
    <row r="111" spans="1:8" x14ac:dyDescent="0.35">
      <c r="A111" s="4"/>
      <c r="B111" s="4"/>
      <c r="C111" s="5"/>
      <c r="D111" s="5"/>
      <c r="E111" s="5"/>
      <c r="F111" s="5"/>
      <c r="G111" s="5"/>
      <c r="H111" s="5"/>
    </row>
    <row r="112" spans="1:8" x14ac:dyDescent="0.35">
      <c r="A112" s="2"/>
      <c r="B112" s="2"/>
      <c r="C112" s="3"/>
      <c r="D112" s="3"/>
      <c r="E112" s="3"/>
      <c r="F112" s="3"/>
      <c r="G112" s="3"/>
      <c r="H112" s="3"/>
    </row>
    <row r="113" spans="1:8" x14ac:dyDescent="0.35">
      <c r="A113" s="2"/>
      <c r="B113" s="2"/>
      <c r="C113" s="3"/>
      <c r="D113" s="3"/>
      <c r="E113" s="3"/>
      <c r="F113" s="3"/>
      <c r="G113" s="3"/>
      <c r="H113" s="3"/>
    </row>
    <row r="114" spans="1:8" x14ac:dyDescent="0.35">
      <c r="A114" s="2"/>
      <c r="B114" s="4"/>
      <c r="C114" s="5"/>
      <c r="D114" s="5"/>
      <c r="E114" s="5"/>
      <c r="F114" s="5"/>
      <c r="G114" s="5"/>
      <c r="H114" s="5"/>
    </row>
    <row r="115" spans="1:8" x14ac:dyDescent="0.35">
      <c r="A115" s="4"/>
      <c r="B115" s="4"/>
      <c r="C115" s="5"/>
      <c r="D115" s="5"/>
      <c r="E115" s="5"/>
      <c r="F115" s="5"/>
      <c r="G115" s="5"/>
      <c r="H115" s="5"/>
    </row>
    <row r="116" spans="1:8" x14ac:dyDescent="0.35">
      <c r="A116" s="4"/>
      <c r="B116" s="4"/>
      <c r="C116" s="5"/>
      <c r="D116" s="5"/>
      <c r="E116" s="5"/>
      <c r="F116" s="5"/>
      <c r="G116" s="5"/>
      <c r="H116" s="5"/>
    </row>
    <row r="117" spans="1:8" x14ac:dyDescent="0.35">
      <c r="A117" s="2"/>
      <c r="B117" s="2"/>
      <c r="C117" s="3"/>
      <c r="D117" s="3"/>
      <c r="E117" s="3"/>
      <c r="F117" s="3"/>
      <c r="G117" s="3"/>
      <c r="H117" s="3"/>
    </row>
    <row r="118" spans="1:8" x14ac:dyDescent="0.35">
      <c r="A118" s="2"/>
      <c r="B118" s="2"/>
      <c r="C118" s="3"/>
      <c r="D118" s="3"/>
      <c r="E118" s="3"/>
      <c r="F118" s="3"/>
      <c r="G118" s="3"/>
      <c r="H118" s="3"/>
    </row>
    <row r="119" spans="1:8" x14ac:dyDescent="0.35">
      <c r="A119" s="2"/>
      <c r="B119" s="4"/>
      <c r="C119" s="5"/>
      <c r="D119" s="5"/>
      <c r="E119" s="5"/>
      <c r="F119" s="5"/>
      <c r="G119" s="5"/>
      <c r="H119" s="5"/>
    </row>
    <row r="120" spans="1:8" x14ac:dyDescent="0.35">
      <c r="A120" s="4"/>
      <c r="B120" s="4"/>
      <c r="C120" s="5"/>
      <c r="D120" s="5"/>
      <c r="E120" s="5"/>
      <c r="F120" s="5"/>
      <c r="G120" s="5"/>
      <c r="H120" s="5"/>
    </row>
    <row r="121" spans="1:8" x14ac:dyDescent="0.35">
      <c r="A121" s="2"/>
      <c r="B121" s="2"/>
      <c r="C121" s="3"/>
      <c r="D121" s="3"/>
      <c r="E121" s="3"/>
      <c r="F121" s="3"/>
      <c r="G121" s="3"/>
      <c r="H121" s="3"/>
    </row>
    <row r="122" spans="1:8" x14ac:dyDescent="0.35">
      <c r="A122" s="2"/>
      <c r="B122" s="2"/>
      <c r="C122" s="3"/>
      <c r="D122" s="3"/>
      <c r="E122" s="3"/>
      <c r="F122" s="3"/>
      <c r="G122" s="3"/>
      <c r="H122" s="3"/>
    </row>
    <row r="123" spans="1:8" x14ac:dyDescent="0.35">
      <c r="A123" s="2"/>
      <c r="B123" s="4"/>
      <c r="C123" s="5"/>
      <c r="D123" s="5"/>
      <c r="E123" s="5"/>
      <c r="F123" s="5"/>
      <c r="G123" s="5"/>
      <c r="H123" s="5"/>
    </row>
    <row r="124" spans="1:8" x14ac:dyDescent="0.35">
      <c r="A124" s="4"/>
      <c r="B124" s="4"/>
      <c r="C124" s="5"/>
      <c r="D124" s="5"/>
      <c r="E124" s="5"/>
      <c r="F124" s="5"/>
      <c r="G124" s="5"/>
      <c r="H124" s="5"/>
    </row>
    <row r="125" spans="1:8" x14ac:dyDescent="0.35">
      <c r="A125" s="4"/>
      <c r="B125" s="4"/>
      <c r="C125" s="5"/>
      <c r="D125" s="5"/>
      <c r="E125" s="5"/>
      <c r="F125" s="5"/>
      <c r="G125" s="5"/>
      <c r="H125" s="5"/>
    </row>
    <row r="126" spans="1:8" x14ac:dyDescent="0.35">
      <c r="A126" s="4"/>
      <c r="B126" s="4"/>
      <c r="C126" s="5"/>
      <c r="D126" s="5"/>
      <c r="E126" s="5"/>
      <c r="F126" s="5"/>
      <c r="G126" s="5"/>
      <c r="H126" s="5"/>
    </row>
    <row r="127" spans="1:8" x14ac:dyDescent="0.35">
      <c r="A127" s="4"/>
      <c r="B127" s="4"/>
      <c r="C127" s="5"/>
      <c r="D127" s="5"/>
      <c r="E127" s="5"/>
      <c r="F127" s="5"/>
      <c r="G127" s="5"/>
      <c r="H127" s="5"/>
    </row>
    <row r="128" spans="1:8" x14ac:dyDescent="0.35">
      <c r="A128" s="4"/>
      <c r="B128" s="4"/>
      <c r="C128" s="5"/>
      <c r="D128" s="5"/>
      <c r="E128" s="5"/>
      <c r="F128" s="5"/>
      <c r="G128" s="5"/>
      <c r="H128" s="5"/>
    </row>
    <row r="129" spans="1:8" x14ac:dyDescent="0.35">
      <c r="A129" s="4"/>
      <c r="B129" s="4"/>
      <c r="C129" s="5"/>
      <c r="D129" s="5"/>
      <c r="E129" s="5"/>
      <c r="F129" s="5"/>
      <c r="G129" s="5"/>
      <c r="H129" s="5"/>
    </row>
    <row r="130" spans="1:8" x14ac:dyDescent="0.35">
      <c r="A130" s="4"/>
      <c r="B130" s="4"/>
      <c r="C130" s="5"/>
      <c r="D130" s="5"/>
      <c r="E130" s="5"/>
      <c r="F130" s="5"/>
      <c r="G130" s="5"/>
      <c r="H130" s="5"/>
    </row>
    <row r="131" spans="1:8" x14ac:dyDescent="0.35">
      <c r="A131" s="4"/>
      <c r="B131" s="4"/>
      <c r="C131" s="5"/>
      <c r="D131" s="5"/>
      <c r="E131" s="5"/>
      <c r="F131" s="5"/>
      <c r="G131" s="5"/>
      <c r="H131" s="5"/>
    </row>
    <row r="132" spans="1:8" x14ac:dyDescent="0.35">
      <c r="A132" s="4"/>
      <c r="B132" s="4"/>
      <c r="C132" s="5"/>
      <c r="D132" s="5"/>
      <c r="E132" s="5"/>
      <c r="F132" s="5"/>
      <c r="G132" s="5"/>
      <c r="H132" s="5"/>
    </row>
    <row r="133" spans="1:8" x14ac:dyDescent="0.35">
      <c r="A133" s="4"/>
      <c r="B133" s="4"/>
      <c r="C133" s="5"/>
      <c r="D133" s="5"/>
      <c r="E133" s="5"/>
      <c r="F133" s="5"/>
      <c r="G133" s="5"/>
      <c r="H133" s="5"/>
    </row>
    <row r="134" spans="1:8" x14ac:dyDescent="0.35">
      <c r="A134" s="4"/>
      <c r="B134" s="4"/>
      <c r="C134" s="5"/>
      <c r="D134" s="5"/>
      <c r="E134" s="5"/>
      <c r="F134" s="5"/>
      <c r="G134" s="5"/>
      <c r="H134" s="5"/>
    </row>
    <row r="135" spans="1:8" x14ac:dyDescent="0.35">
      <c r="A135" s="4"/>
      <c r="B135" s="4"/>
      <c r="C135" s="5"/>
      <c r="D135" s="5"/>
      <c r="E135" s="5"/>
      <c r="F135" s="5"/>
      <c r="G135" s="5"/>
      <c r="H135" s="5"/>
    </row>
    <row r="136" spans="1:8" x14ac:dyDescent="0.35">
      <c r="A136" s="4"/>
      <c r="B136" s="4"/>
      <c r="C136" s="5"/>
      <c r="D136" s="5"/>
      <c r="E136" s="5"/>
      <c r="F136" s="5"/>
      <c r="G136" s="5"/>
      <c r="H136" s="5"/>
    </row>
    <row r="137" spans="1:8" x14ac:dyDescent="0.35">
      <c r="A137" s="4"/>
      <c r="B137" s="4"/>
      <c r="C137" s="5"/>
      <c r="D137" s="5"/>
      <c r="E137" s="5"/>
      <c r="F137" s="5"/>
      <c r="G137" s="5"/>
      <c r="H137" s="5"/>
    </row>
    <row r="138" spans="1:8" x14ac:dyDescent="0.35">
      <c r="A138" s="4"/>
      <c r="B138" s="4"/>
      <c r="C138" s="5"/>
      <c r="D138" s="5"/>
      <c r="E138" s="5"/>
      <c r="F138" s="5"/>
      <c r="G138" s="5"/>
      <c r="H138" s="5"/>
    </row>
    <row r="139" spans="1:8" x14ac:dyDescent="0.35">
      <c r="A139" s="4"/>
      <c r="B139" s="4"/>
      <c r="C139" s="5"/>
      <c r="D139" s="5"/>
      <c r="E139" s="5"/>
      <c r="F139" s="5"/>
      <c r="G139" s="5"/>
      <c r="H139" s="5"/>
    </row>
    <row r="140" spans="1:8" x14ac:dyDescent="0.35">
      <c r="A140" s="4"/>
      <c r="B140" s="4"/>
      <c r="C140" s="5"/>
      <c r="D140" s="5"/>
      <c r="E140" s="5"/>
      <c r="F140" s="5"/>
      <c r="G140" s="5"/>
      <c r="H140" s="5"/>
    </row>
    <row r="141" spans="1:8" x14ac:dyDescent="0.35">
      <c r="A141" s="4"/>
      <c r="B141" s="4"/>
      <c r="C141" s="5"/>
      <c r="D141" s="5"/>
      <c r="E141" s="5"/>
      <c r="F141" s="5"/>
      <c r="G141" s="5"/>
      <c r="H141" s="5"/>
    </row>
    <row r="142" spans="1:8" x14ac:dyDescent="0.35">
      <c r="A142" s="4"/>
      <c r="B142" s="4"/>
      <c r="C142" s="5"/>
      <c r="D142" s="5"/>
      <c r="E142" s="5"/>
      <c r="F142" s="5"/>
      <c r="G142" s="5"/>
      <c r="H142" s="5"/>
    </row>
    <row r="143" spans="1:8" x14ac:dyDescent="0.35">
      <c r="A143" s="2"/>
      <c r="B143" s="2"/>
      <c r="C143" s="3"/>
      <c r="D143" s="3"/>
      <c r="E143" s="3"/>
      <c r="F143" s="3"/>
      <c r="G143" s="3"/>
      <c r="H143" s="3"/>
    </row>
    <row r="144" spans="1:8" x14ac:dyDescent="0.35">
      <c r="A144" s="2"/>
      <c r="B144" s="2"/>
      <c r="C144" s="3"/>
      <c r="D144" s="3"/>
      <c r="E144" s="3"/>
      <c r="F144" s="3"/>
      <c r="G144" s="3"/>
      <c r="H144" s="3"/>
    </row>
    <row r="145" spans="1:8" x14ac:dyDescent="0.35">
      <c r="A145" s="2"/>
      <c r="B145" s="4"/>
      <c r="C145" s="5"/>
      <c r="D145" s="5"/>
      <c r="E145" s="5"/>
      <c r="F145" s="5"/>
      <c r="G145" s="5"/>
      <c r="H145" s="5"/>
    </row>
    <row r="146" spans="1:8" x14ac:dyDescent="0.35">
      <c r="A146" s="4"/>
      <c r="B146" s="4"/>
      <c r="C146" s="5"/>
      <c r="D146" s="5"/>
      <c r="E146" s="5"/>
      <c r="F146" s="5"/>
      <c r="G146" s="5"/>
      <c r="H146" s="5"/>
    </row>
    <row r="147" spans="1:8" x14ac:dyDescent="0.35">
      <c r="A147" s="4"/>
      <c r="B147" s="4"/>
      <c r="C147" s="5"/>
      <c r="D147" s="5"/>
      <c r="E147" s="5"/>
      <c r="F147" s="5"/>
      <c r="G147" s="5"/>
      <c r="H147" s="5"/>
    </row>
    <row r="148" spans="1:8" x14ac:dyDescent="0.35">
      <c r="A148" s="4"/>
      <c r="B148" s="4"/>
      <c r="C148" s="5"/>
      <c r="D148" s="5"/>
      <c r="E148" s="5"/>
      <c r="F148" s="5"/>
      <c r="G148" s="5"/>
      <c r="H148" s="5"/>
    </row>
    <row r="149" spans="1:8" x14ac:dyDescent="0.35">
      <c r="A149" s="4"/>
      <c r="B149" s="4"/>
      <c r="C149" s="5"/>
      <c r="D149" s="5"/>
      <c r="E149" s="5"/>
      <c r="F149" s="5"/>
      <c r="G149" s="5"/>
      <c r="H149" s="5"/>
    </row>
    <row r="150" spans="1:8" x14ac:dyDescent="0.35">
      <c r="A150" s="4"/>
      <c r="B150" s="4"/>
      <c r="C150" s="5"/>
      <c r="D150" s="5"/>
      <c r="E150" s="5"/>
      <c r="F150" s="5"/>
      <c r="G150" s="5"/>
      <c r="H150" s="5"/>
    </row>
    <row r="151" spans="1:8" x14ac:dyDescent="0.35">
      <c r="A151" s="4"/>
      <c r="B151" s="4"/>
      <c r="C151" s="5"/>
      <c r="D151" s="5"/>
      <c r="E151" s="5"/>
      <c r="F151" s="5"/>
      <c r="G151" s="5"/>
      <c r="H151" s="5"/>
    </row>
    <row r="152" spans="1:8" x14ac:dyDescent="0.35">
      <c r="A152" s="4"/>
      <c r="B152" s="4"/>
      <c r="C152" s="5"/>
      <c r="D152" s="5"/>
      <c r="E152" s="5"/>
      <c r="F152" s="5"/>
      <c r="G152" s="5"/>
      <c r="H152" s="5"/>
    </row>
    <row r="153" spans="1:8" x14ac:dyDescent="0.35">
      <c r="A153" s="4"/>
      <c r="B153" s="4"/>
      <c r="C153" s="5"/>
      <c r="D153" s="5"/>
      <c r="E153" s="5"/>
      <c r="F153" s="5"/>
      <c r="G153" s="5"/>
      <c r="H153" s="5"/>
    </row>
    <row r="154" spans="1:8" x14ac:dyDescent="0.35">
      <c r="A154" s="4"/>
      <c r="B154" s="4"/>
      <c r="C154" s="5"/>
      <c r="D154" s="5"/>
      <c r="E154" s="5"/>
      <c r="F154" s="5"/>
      <c r="G154" s="5"/>
      <c r="H154" s="5"/>
    </row>
    <row r="155" spans="1:8" x14ac:dyDescent="0.35">
      <c r="A155" s="4"/>
      <c r="B155" s="4"/>
      <c r="C155" s="5"/>
      <c r="D155" s="5"/>
      <c r="E155" s="5"/>
      <c r="F155" s="5"/>
      <c r="G155" s="5"/>
      <c r="H155" s="5"/>
    </row>
    <row r="156" spans="1:8" x14ac:dyDescent="0.35">
      <c r="A156" s="4"/>
      <c r="B156" s="4"/>
      <c r="C156" s="5"/>
      <c r="D156" s="5"/>
      <c r="E156" s="5"/>
      <c r="F156" s="5"/>
      <c r="G156" s="5"/>
      <c r="H156" s="5"/>
    </row>
    <row r="157" spans="1:8" x14ac:dyDescent="0.35">
      <c r="A157" s="4"/>
      <c r="B157" s="4"/>
      <c r="C157" s="5"/>
      <c r="D157" s="5"/>
      <c r="E157" s="5"/>
      <c r="F157" s="5"/>
      <c r="G157" s="5"/>
      <c r="H157" s="5"/>
    </row>
    <row r="158" spans="1:8" x14ac:dyDescent="0.35">
      <c r="A158" s="4"/>
      <c r="B158" s="4"/>
      <c r="C158" s="5"/>
      <c r="D158" s="5"/>
      <c r="E158" s="5"/>
      <c r="F158" s="5"/>
      <c r="G158" s="5"/>
      <c r="H158" s="5"/>
    </row>
    <row r="159" spans="1:8" x14ac:dyDescent="0.35">
      <c r="A159" s="4"/>
      <c r="B159" s="4"/>
      <c r="C159" s="5"/>
      <c r="D159" s="5"/>
      <c r="E159" s="5"/>
      <c r="F159" s="5"/>
      <c r="G159" s="5"/>
      <c r="H159" s="5"/>
    </row>
    <row r="160" spans="1:8" x14ac:dyDescent="0.35">
      <c r="A160" s="4"/>
      <c r="B160" s="4"/>
      <c r="C160" s="5"/>
      <c r="D160" s="5"/>
      <c r="E160" s="5"/>
      <c r="F160" s="5"/>
      <c r="G160" s="5"/>
      <c r="H160" s="5"/>
    </row>
    <row r="161" spans="1:8" x14ac:dyDescent="0.35">
      <c r="A161" s="4"/>
      <c r="B161" s="4"/>
      <c r="C161" s="5"/>
      <c r="D161" s="5"/>
      <c r="E161" s="5"/>
      <c r="F161" s="5"/>
      <c r="G161" s="5"/>
      <c r="H161" s="5"/>
    </row>
    <row r="162" spans="1:8" x14ac:dyDescent="0.35">
      <c r="A162" s="4"/>
      <c r="B162" s="4"/>
      <c r="C162" s="5"/>
      <c r="D162" s="5"/>
      <c r="E162" s="5"/>
      <c r="F162" s="5"/>
      <c r="G162" s="5"/>
      <c r="H162" s="5"/>
    </row>
    <row r="163" spans="1:8" x14ac:dyDescent="0.35">
      <c r="A163" s="4"/>
      <c r="B163" s="4"/>
      <c r="C163" s="5"/>
      <c r="D163" s="5"/>
      <c r="E163" s="5"/>
      <c r="F163" s="5"/>
      <c r="G163" s="5"/>
      <c r="H163" s="5"/>
    </row>
    <row r="164" spans="1:8" x14ac:dyDescent="0.35">
      <c r="A164" s="4"/>
      <c r="B164" s="4"/>
      <c r="C164" s="5"/>
      <c r="D164" s="5"/>
      <c r="E164" s="5"/>
      <c r="F164" s="5"/>
      <c r="G164" s="5"/>
      <c r="H164" s="5"/>
    </row>
    <row r="165" spans="1:8" x14ac:dyDescent="0.35">
      <c r="A165" s="4"/>
      <c r="B165" s="4"/>
      <c r="C165" s="5"/>
      <c r="D165" s="5"/>
      <c r="E165" s="5"/>
      <c r="F165" s="5"/>
      <c r="G165" s="5"/>
      <c r="H165" s="5"/>
    </row>
    <row r="166" spans="1:8" x14ac:dyDescent="0.35">
      <c r="A166" s="4"/>
      <c r="B166" s="4"/>
      <c r="C166" s="5"/>
      <c r="D166" s="5"/>
      <c r="E166" s="5"/>
      <c r="F166" s="5"/>
      <c r="G166" s="5"/>
      <c r="H166" s="5"/>
    </row>
    <row r="167" spans="1:8" x14ac:dyDescent="0.35">
      <c r="A167" s="4"/>
      <c r="B167" s="4"/>
      <c r="C167" s="5"/>
      <c r="D167" s="5"/>
      <c r="E167" s="5"/>
      <c r="F167" s="5"/>
      <c r="G167" s="5"/>
      <c r="H167" s="5"/>
    </row>
    <row r="168" spans="1:8" x14ac:dyDescent="0.35">
      <c r="A168" s="4"/>
      <c r="B168" s="4"/>
      <c r="C168" s="5"/>
      <c r="D168" s="5"/>
      <c r="E168" s="5"/>
      <c r="F168" s="5"/>
      <c r="G168" s="5"/>
      <c r="H168" s="5"/>
    </row>
    <row r="169" spans="1:8" x14ac:dyDescent="0.35">
      <c r="A169" s="4"/>
      <c r="B169" s="4"/>
      <c r="C169" s="5"/>
      <c r="D169" s="5"/>
      <c r="E169" s="5"/>
      <c r="F169" s="5"/>
      <c r="G169" s="5"/>
      <c r="H169" s="5"/>
    </row>
    <row r="170" spans="1:8" x14ac:dyDescent="0.35">
      <c r="A170" s="4"/>
      <c r="B170" s="4"/>
      <c r="C170" s="5"/>
      <c r="D170" s="5"/>
      <c r="E170" s="5"/>
      <c r="F170" s="5"/>
      <c r="G170" s="5"/>
      <c r="H170" s="5"/>
    </row>
    <row r="171" spans="1:8" x14ac:dyDescent="0.35">
      <c r="A171" s="4"/>
      <c r="B171" s="4"/>
      <c r="C171" s="5"/>
      <c r="D171" s="5"/>
      <c r="E171" s="5"/>
      <c r="F171" s="5"/>
      <c r="G171" s="5"/>
      <c r="H171" s="5"/>
    </row>
    <row r="172" spans="1:8" x14ac:dyDescent="0.35">
      <c r="A172" s="4"/>
      <c r="B172" s="4"/>
      <c r="C172" s="5"/>
      <c r="D172" s="5"/>
      <c r="E172" s="5"/>
      <c r="F172" s="5"/>
      <c r="G172" s="5"/>
      <c r="H172" s="5"/>
    </row>
    <row r="173" spans="1:8" x14ac:dyDescent="0.35">
      <c r="A173" s="4"/>
      <c r="B173" s="4"/>
      <c r="C173" s="5"/>
      <c r="D173" s="5"/>
      <c r="E173" s="5"/>
      <c r="F173" s="5"/>
      <c r="G173" s="5"/>
      <c r="H173" s="5"/>
    </row>
    <row r="174" spans="1:8" x14ac:dyDescent="0.35">
      <c r="A174" s="4"/>
      <c r="B174" s="4"/>
      <c r="C174" s="5"/>
      <c r="D174" s="5"/>
      <c r="E174" s="5"/>
      <c r="F174" s="5"/>
      <c r="G174" s="5"/>
      <c r="H174" s="5"/>
    </row>
    <row r="175" spans="1:8" x14ac:dyDescent="0.35">
      <c r="A175" s="4"/>
      <c r="B175" s="4"/>
      <c r="C175" s="5"/>
      <c r="D175" s="5"/>
      <c r="E175" s="5"/>
      <c r="F175" s="5"/>
      <c r="G175" s="5"/>
      <c r="H175" s="5"/>
    </row>
    <row r="176" spans="1:8" x14ac:dyDescent="0.35">
      <c r="A176" s="4"/>
      <c r="B176" s="4"/>
      <c r="C176" s="5"/>
      <c r="D176" s="5"/>
      <c r="E176" s="5"/>
      <c r="F176" s="5"/>
      <c r="G176" s="5"/>
      <c r="H176" s="5"/>
    </row>
    <row r="177" spans="1:8" x14ac:dyDescent="0.35">
      <c r="A177" s="4"/>
      <c r="B177" s="4"/>
      <c r="C177" s="5"/>
      <c r="D177" s="5"/>
      <c r="E177" s="5"/>
      <c r="F177" s="5"/>
      <c r="G177" s="5"/>
      <c r="H177" s="5"/>
    </row>
    <row r="178" spans="1:8" x14ac:dyDescent="0.35">
      <c r="A178" s="4"/>
      <c r="B178" s="4"/>
      <c r="C178" s="5"/>
      <c r="D178" s="5"/>
      <c r="E178" s="5"/>
      <c r="F178" s="5"/>
      <c r="G178" s="5"/>
      <c r="H178" s="5"/>
    </row>
    <row r="179" spans="1:8" x14ac:dyDescent="0.35">
      <c r="A179" s="4"/>
      <c r="B179" s="4"/>
      <c r="C179" s="5"/>
      <c r="D179" s="5"/>
      <c r="E179" s="5"/>
      <c r="F179" s="5"/>
      <c r="G179" s="5"/>
      <c r="H179" s="5"/>
    </row>
    <row r="180" spans="1:8" x14ac:dyDescent="0.35">
      <c r="A180" s="4"/>
      <c r="B180" s="4"/>
      <c r="C180" s="5"/>
      <c r="D180" s="5"/>
      <c r="E180" s="5"/>
      <c r="F180" s="5"/>
      <c r="G180" s="5"/>
      <c r="H180" s="5"/>
    </row>
    <row r="181" spans="1:8" x14ac:dyDescent="0.35">
      <c r="A181" s="4"/>
      <c r="B181" s="4"/>
      <c r="C181" s="5"/>
      <c r="D181" s="5"/>
      <c r="E181" s="5"/>
      <c r="F181" s="5"/>
      <c r="G181" s="5"/>
      <c r="H181" s="5"/>
    </row>
    <row r="182" spans="1:8" x14ac:dyDescent="0.35">
      <c r="A182" s="4"/>
      <c r="B182" s="4"/>
      <c r="C182" s="5"/>
      <c r="D182" s="5"/>
      <c r="E182" s="5"/>
      <c r="F182" s="5"/>
      <c r="G182" s="5"/>
      <c r="H182" s="5"/>
    </row>
    <row r="183" spans="1:8" x14ac:dyDescent="0.35">
      <c r="A183" s="4"/>
      <c r="B183" s="4"/>
      <c r="C183" s="5"/>
      <c r="D183" s="5"/>
      <c r="E183" s="5"/>
      <c r="F183" s="5"/>
      <c r="G183" s="5"/>
      <c r="H183" s="5"/>
    </row>
    <row r="184" spans="1:8" x14ac:dyDescent="0.35">
      <c r="A184" s="4"/>
      <c r="B184" s="4"/>
      <c r="C184" s="5"/>
      <c r="D184" s="5"/>
      <c r="E184" s="5"/>
      <c r="F184" s="5"/>
      <c r="G184" s="5"/>
      <c r="H184" s="5"/>
    </row>
    <row r="185" spans="1:8" x14ac:dyDescent="0.35">
      <c r="A185" s="4"/>
      <c r="B185" s="4"/>
      <c r="C185" s="5"/>
      <c r="D185" s="5"/>
      <c r="E185" s="5"/>
      <c r="F185" s="5"/>
      <c r="G185" s="5"/>
      <c r="H185" s="5"/>
    </row>
    <row r="186" spans="1:8" x14ac:dyDescent="0.35">
      <c r="A186" s="4"/>
      <c r="B186" s="4"/>
      <c r="C186" s="5"/>
      <c r="D186" s="5"/>
      <c r="E186" s="5"/>
      <c r="F186" s="5"/>
      <c r="G186" s="5"/>
      <c r="H186" s="5"/>
    </row>
    <row r="187" spans="1:8" x14ac:dyDescent="0.35">
      <c r="A187" s="4"/>
      <c r="B187" s="4"/>
      <c r="C187" s="5"/>
      <c r="D187" s="5"/>
      <c r="E187" s="5"/>
      <c r="F187" s="5"/>
      <c r="G187" s="5"/>
      <c r="H187" s="5"/>
    </row>
    <row r="188" spans="1:8" x14ac:dyDescent="0.35">
      <c r="A188" s="4"/>
      <c r="B188" s="4"/>
      <c r="C188" s="5"/>
      <c r="D188" s="5"/>
      <c r="E188" s="5"/>
      <c r="F188" s="5"/>
      <c r="G188" s="5"/>
      <c r="H188" s="5"/>
    </row>
    <row r="189" spans="1:8" x14ac:dyDescent="0.35">
      <c r="A189" s="4"/>
      <c r="B189" s="4"/>
      <c r="C189" s="5"/>
      <c r="D189" s="5"/>
      <c r="E189" s="5"/>
      <c r="F189" s="5"/>
      <c r="G189" s="5"/>
      <c r="H189" s="5"/>
    </row>
    <row r="190" spans="1:8" x14ac:dyDescent="0.35">
      <c r="A190" s="4"/>
      <c r="B190" s="4"/>
      <c r="C190" s="5"/>
      <c r="D190" s="5"/>
      <c r="E190" s="5"/>
      <c r="F190" s="5"/>
      <c r="G190" s="5"/>
      <c r="H190" s="5"/>
    </row>
    <row r="191" spans="1:8" x14ac:dyDescent="0.35">
      <c r="A191" s="4"/>
      <c r="B191" s="4"/>
      <c r="C191" s="5"/>
      <c r="D191" s="5"/>
      <c r="E191" s="5"/>
      <c r="F191" s="5"/>
      <c r="G191" s="5"/>
      <c r="H191" s="5"/>
    </row>
    <row r="192" spans="1:8" x14ac:dyDescent="0.35">
      <c r="A192" s="4"/>
      <c r="B192" s="4"/>
      <c r="C192" s="5"/>
      <c r="D192" s="5"/>
      <c r="E192" s="5"/>
      <c r="F192" s="5"/>
      <c r="G192" s="5"/>
      <c r="H192" s="5"/>
    </row>
    <row r="193" spans="1:8" x14ac:dyDescent="0.35">
      <c r="A193" s="4"/>
      <c r="B193" s="4"/>
      <c r="C193" s="5"/>
      <c r="D193" s="5"/>
      <c r="E193" s="5"/>
      <c r="F193" s="5"/>
      <c r="G193" s="5"/>
      <c r="H193" s="5"/>
    </row>
    <row r="194" spans="1:8" x14ac:dyDescent="0.35">
      <c r="A194" s="4"/>
      <c r="B194" s="4"/>
      <c r="C194" s="5"/>
      <c r="D194" s="5"/>
      <c r="E194" s="5"/>
      <c r="F194" s="5"/>
      <c r="G194" s="5"/>
      <c r="H194" s="5"/>
    </row>
    <row r="195" spans="1:8" x14ac:dyDescent="0.35">
      <c r="A195" s="4"/>
      <c r="B195" s="4"/>
      <c r="C195" s="5"/>
      <c r="D195" s="5"/>
      <c r="E195" s="5"/>
      <c r="F195" s="5"/>
      <c r="G195" s="5"/>
      <c r="H195" s="5"/>
    </row>
    <row r="196" spans="1:8" x14ac:dyDescent="0.35">
      <c r="A196" s="4"/>
      <c r="B196" s="4"/>
      <c r="C196" s="5"/>
      <c r="D196" s="5"/>
      <c r="E196" s="5"/>
      <c r="F196" s="5"/>
      <c r="G196" s="5"/>
      <c r="H196" s="5"/>
    </row>
    <row r="197" spans="1:8" x14ac:dyDescent="0.35">
      <c r="A197" s="4"/>
      <c r="B197" s="4"/>
      <c r="C197" s="5"/>
      <c r="D197" s="5"/>
      <c r="E197" s="5"/>
      <c r="F197" s="5"/>
      <c r="G197" s="5"/>
      <c r="H197" s="5"/>
    </row>
    <row r="198" spans="1:8" x14ac:dyDescent="0.35">
      <c r="A198" s="4"/>
      <c r="B198" s="4"/>
      <c r="C198" s="5"/>
      <c r="D198" s="5"/>
      <c r="E198" s="5"/>
      <c r="F198" s="5"/>
      <c r="G198" s="5"/>
      <c r="H198" s="5"/>
    </row>
    <row r="199" spans="1:8" x14ac:dyDescent="0.35">
      <c r="A199" s="4"/>
      <c r="B199" s="4"/>
      <c r="C199" s="5"/>
      <c r="D199" s="5"/>
      <c r="E199" s="5"/>
      <c r="F199" s="5"/>
      <c r="G199" s="5"/>
      <c r="H199" s="5"/>
    </row>
    <row r="200" spans="1:8" x14ac:dyDescent="0.35">
      <c r="A200" s="4"/>
      <c r="B200" s="4"/>
      <c r="C200" s="5"/>
      <c r="D200" s="5"/>
      <c r="E200" s="5"/>
      <c r="F200" s="5"/>
      <c r="G200" s="5"/>
      <c r="H200" s="5"/>
    </row>
    <row r="201" spans="1:8" x14ac:dyDescent="0.35">
      <c r="A201" s="4"/>
      <c r="B201" s="4"/>
      <c r="C201" s="5"/>
      <c r="D201" s="5"/>
      <c r="E201" s="5"/>
      <c r="F201" s="5"/>
      <c r="G201" s="5"/>
      <c r="H201" s="5"/>
    </row>
    <row r="202" spans="1:8" x14ac:dyDescent="0.35">
      <c r="A202" s="4"/>
      <c r="B202" s="4"/>
      <c r="C202" s="5"/>
      <c r="D202" s="5"/>
      <c r="E202" s="5"/>
      <c r="F202" s="5"/>
      <c r="G202" s="5"/>
      <c r="H202" s="5"/>
    </row>
    <row r="203" spans="1:8" x14ac:dyDescent="0.35">
      <c r="A203" s="4"/>
      <c r="B203" s="4"/>
      <c r="C203" s="5"/>
      <c r="D203" s="5"/>
      <c r="E203" s="5"/>
      <c r="F203" s="5"/>
      <c r="G203" s="5"/>
      <c r="H203" s="5"/>
    </row>
    <row r="204" spans="1:8" x14ac:dyDescent="0.35">
      <c r="A204" s="4"/>
      <c r="B204" s="4"/>
      <c r="C204" s="5"/>
      <c r="D204" s="5"/>
      <c r="E204" s="5"/>
      <c r="F204" s="5"/>
      <c r="G204" s="5"/>
      <c r="H204" s="5"/>
    </row>
    <row r="205" spans="1:8" x14ac:dyDescent="0.35">
      <c r="A205" s="4"/>
      <c r="B205" s="4"/>
      <c r="C205" s="5"/>
      <c r="D205" s="5"/>
      <c r="E205" s="5"/>
      <c r="F205" s="5"/>
      <c r="G205" s="5"/>
      <c r="H205" s="5"/>
    </row>
    <row r="206" spans="1:8" x14ac:dyDescent="0.35">
      <c r="A206" s="4"/>
      <c r="B206" s="4"/>
      <c r="C206" s="5"/>
      <c r="D206" s="5"/>
      <c r="E206" s="5"/>
      <c r="F206" s="5"/>
      <c r="G206" s="5"/>
      <c r="H206" s="5"/>
    </row>
    <row r="207" spans="1:8" x14ac:dyDescent="0.35">
      <c r="A207" s="4"/>
      <c r="B207" s="4"/>
      <c r="C207" s="5"/>
      <c r="D207" s="5"/>
      <c r="E207" s="5"/>
      <c r="F207" s="5"/>
      <c r="G207" s="5"/>
      <c r="H207" s="5"/>
    </row>
    <row r="208" spans="1:8" x14ac:dyDescent="0.35">
      <c r="A208" s="4"/>
      <c r="B208" s="4"/>
      <c r="C208" s="5"/>
      <c r="D208" s="5"/>
      <c r="E208" s="5"/>
      <c r="F208" s="5"/>
      <c r="G208" s="5"/>
      <c r="H208" s="5"/>
    </row>
    <row r="209" spans="1:8" x14ac:dyDescent="0.35">
      <c r="A209" s="4"/>
      <c r="B209" s="4"/>
      <c r="C209" s="5"/>
      <c r="D209" s="5"/>
      <c r="E209" s="5"/>
      <c r="F209" s="5"/>
      <c r="G209" s="5"/>
      <c r="H209" s="5"/>
    </row>
    <row r="210" spans="1:8" x14ac:dyDescent="0.35">
      <c r="A210" s="4"/>
      <c r="B210" s="4"/>
      <c r="C210" s="5"/>
      <c r="D210" s="5"/>
      <c r="E210" s="5"/>
      <c r="F210" s="5"/>
      <c r="G210" s="5"/>
      <c r="H210" s="5"/>
    </row>
    <row r="211" spans="1:8" x14ac:dyDescent="0.35">
      <c r="A211" s="4"/>
      <c r="B211" s="4"/>
      <c r="C211" s="5"/>
      <c r="D211" s="5"/>
      <c r="E211" s="5"/>
      <c r="F211" s="5"/>
      <c r="G211" s="5"/>
      <c r="H211" s="5"/>
    </row>
    <row r="212" spans="1:8" x14ac:dyDescent="0.35">
      <c r="A212" s="4"/>
      <c r="B212" s="4"/>
      <c r="C212" s="5"/>
      <c r="D212" s="5"/>
      <c r="E212" s="5"/>
      <c r="F212" s="5"/>
      <c r="G212" s="5"/>
      <c r="H212" s="5"/>
    </row>
    <row r="213" spans="1:8" x14ac:dyDescent="0.35">
      <c r="A213" s="4"/>
      <c r="B213" s="4"/>
      <c r="C213" s="5"/>
      <c r="D213" s="5"/>
      <c r="E213" s="5"/>
      <c r="F213" s="5"/>
      <c r="G213" s="5"/>
      <c r="H213" s="5"/>
    </row>
    <row r="214" spans="1:8" x14ac:dyDescent="0.35">
      <c r="A214" s="4"/>
      <c r="B214" s="4"/>
      <c r="C214" s="5"/>
      <c r="D214" s="5"/>
      <c r="E214" s="5"/>
      <c r="F214" s="5"/>
      <c r="G214" s="5"/>
      <c r="H214" s="5"/>
    </row>
    <row r="215" spans="1:8" x14ac:dyDescent="0.35">
      <c r="A215" s="4"/>
      <c r="B215" s="4"/>
      <c r="C215" s="5"/>
      <c r="D215" s="5"/>
      <c r="E215" s="5"/>
      <c r="F215" s="5"/>
      <c r="G215" s="5"/>
      <c r="H215" s="5"/>
    </row>
    <row r="216" spans="1:8" x14ac:dyDescent="0.35">
      <c r="A216" s="4"/>
      <c r="B216" s="4"/>
      <c r="C216" s="5"/>
      <c r="D216" s="5"/>
      <c r="E216" s="5"/>
      <c r="F216" s="5"/>
      <c r="G216" s="5"/>
      <c r="H216" s="5"/>
    </row>
    <row r="217" spans="1:8" x14ac:dyDescent="0.35">
      <c r="A217" s="2"/>
      <c r="B217" s="2"/>
      <c r="C217" s="3"/>
      <c r="D217" s="3"/>
      <c r="E217" s="3"/>
      <c r="F217" s="3"/>
      <c r="G217" s="3"/>
      <c r="H217" s="3"/>
    </row>
    <row r="218" spans="1:8" x14ac:dyDescent="0.35">
      <c r="A218" s="2"/>
      <c r="B218" s="2"/>
      <c r="C218" s="3"/>
      <c r="D218" s="3"/>
      <c r="E218" s="3"/>
      <c r="F218" s="3"/>
      <c r="G218" s="3"/>
      <c r="H218" s="3"/>
    </row>
    <row r="219" spans="1:8" x14ac:dyDescent="0.35">
      <c r="A219" s="2"/>
      <c r="B219" s="4"/>
      <c r="C219" s="5"/>
      <c r="D219" s="5"/>
      <c r="E219" s="5"/>
      <c r="F219" s="5"/>
      <c r="G219" s="5"/>
      <c r="H219" s="5"/>
    </row>
    <row r="220" spans="1:8" x14ac:dyDescent="0.35">
      <c r="A220" s="4"/>
      <c r="B220" s="4"/>
      <c r="C220" s="5"/>
      <c r="D220" s="5"/>
      <c r="E220" s="5"/>
      <c r="F220" s="5"/>
      <c r="G220" s="5"/>
      <c r="H220" s="5"/>
    </row>
    <row r="221" spans="1:8" x14ac:dyDescent="0.35">
      <c r="A221" s="2"/>
      <c r="B221" s="2"/>
      <c r="C221" s="3"/>
      <c r="D221" s="3"/>
      <c r="E221" s="3"/>
      <c r="F221" s="3"/>
      <c r="G221" s="3"/>
      <c r="H221" s="3"/>
    </row>
    <row r="222" spans="1:8" x14ac:dyDescent="0.35">
      <c r="A222" s="2"/>
      <c r="B222" s="2"/>
      <c r="C222" s="3"/>
      <c r="D222" s="3"/>
      <c r="E222" s="3"/>
      <c r="F222" s="3"/>
      <c r="G222" s="3"/>
      <c r="H222" s="3"/>
    </row>
    <row r="223" spans="1:8" x14ac:dyDescent="0.35">
      <c r="A223" s="2"/>
      <c r="B223" s="2"/>
      <c r="C223" s="3"/>
      <c r="D223" s="3"/>
      <c r="E223" s="3"/>
      <c r="F223" s="3"/>
      <c r="G223" s="3"/>
      <c r="H223" s="3"/>
    </row>
    <row r="224" spans="1:8" ht="15" thickBot="1" x14ac:dyDescent="0.4">
      <c r="A224" s="16"/>
      <c r="B224" s="16"/>
      <c r="C224" s="17"/>
      <c r="D224" s="17"/>
      <c r="E224" s="17"/>
      <c r="F224" s="17"/>
      <c r="G224" s="17"/>
      <c r="H224" s="17"/>
    </row>
    <row r="225" spans="1:8" ht="15.5" thickTop="1" thickBot="1" x14ac:dyDescent="0.4">
      <c r="A225" s="6"/>
      <c r="B225" s="7"/>
      <c r="C225" s="8"/>
      <c r="D225" s="8"/>
      <c r="E225" s="8"/>
      <c r="F225" s="8"/>
      <c r="G225" s="8"/>
      <c r="H225" s="13"/>
    </row>
    <row r="226" spans="1:8" ht="15" thickTop="1" x14ac:dyDescent="0.35"/>
  </sheetData>
  <mergeCells count="2">
    <mergeCell ref="A2:H2"/>
    <mergeCell ref="A85:H8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99"/>
  <sheetViews>
    <sheetView view="pageBreakPreview" zoomScale="80" zoomScaleNormal="80" zoomScaleSheetLayoutView="80" workbookViewId="0">
      <pane xSplit="2" ySplit="3" topLeftCell="C179" activePane="bottomRight" state="frozen"/>
      <selection activeCell="B183" sqref="B183"/>
      <selection pane="topRight" activeCell="B183" sqref="B183"/>
      <selection pane="bottomLeft" activeCell="B183" sqref="B183"/>
      <selection pane="bottomRight" activeCell="A2" sqref="A2:K2"/>
    </sheetView>
  </sheetViews>
  <sheetFormatPr defaultColWidth="9.1796875" defaultRowHeight="13" x14ac:dyDescent="0.3"/>
  <cols>
    <col min="1" max="1" width="38.26953125" style="63" customWidth="1"/>
    <col min="2" max="2" width="60.1796875" style="63" customWidth="1"/>
    <col min="3" max="3" width="17.7265625" style="64" hidden="1" customWidth="1"/>
    <col min="4" max="4" width="12.81640625" style="64" hidden="1" customWidth="1"/>
    <col min="5" max="5" width="13.36328125" style="64" bestFit="1" customWidth="1"/>
    <col min="6" max="6" width="14.7265625" style="64" hidden="1" customWidth="1"/>
    <col min="7" max="7" width="13.7265625" style="64" bestFit="1" customWidth="1"/>
    <col min="8" max="8" width="12.6328125" style="167" customWidth="1"/>
    <col min="9" max="9" width="15.08984375" style="64" bestFit="1" customWidth="1"/>
    <col min="10" max="11" width="14.26953125" style="63" bestFit="1" customWidth="1"/>
    <col min="12" max="13" width="17" style="64" customWidth="1"/>
    <col min="14" max="14" width="14.453125" style="63" bestFit="1" customWidth="1"/>
    <col min="15" max="15" width="9.453125" style="63" bestFit="1" customWidth="1"/>
    <col min="16" max="16" width="16.81640625" style="64" bestFit="1" customWidth="1"/>
    <col min="17" max="18" width="11.7265625" style="63" bestFit="1" customWidth="1"/>
    <col min="19" max="19" width="10.36328125" style="63" bestFit="1" customWidth="1"/>
    <col min="20" max="16384" width="9.1796875" style="63"/>
  </cols>
  <sheetData>
    <row r="1" spans="1:14" ht="13.5" thickBot="1" x14ac:dyDescent="0.35">
      <c r="B1" s="215">
        <f>'2020 2021 ADJU BUDGET SUMMARY'!J24</f>
        <v>-58996.24570569396</v>
      </c>
      <c r="C1" s="64">
        <f>'2020 2021 ADJU BUDGET SUMMARY'!J24</f>
        <v>-58996.24570569396</v>
      </c>
    </row>
    <row r="2" spans="1:14" ht="13.5" thickBot="1" x14ac:dyDescent="0.35">
      <c r="A2" s="244" t="s">
        <v>1365</v>
      </c>
      <c r="B2" s="245"/>
      <c r="C2" s="245"/>
      <c r="D2" s="245"/>
      <c r="E2" s="245"/>
      <c r="F2" s="245"/>
      <c r="G2" s="245"/>
      <c r="H2" s="245"/>
      <c r="I2" s="245"/>
      <c r="J2" s="245"/>
      <c r="K2" s="246"/>
    </row>
    <row r="3" spans="1:14" ht="28.5" customHeight="1" thickBot="1" x14ac:dyDescent="0.35">
      <c r="A3" s="75" t="s">
        <v>0</v>
      </c>
      <c r="B3" s="75" t="s">
        <v>1</v>
      </c>
      <c r="C3" s="164" t="s">
        <v>673</v>
      </c>
      <c r="D3" s="164" t="s">
        <v>1224</v>
      </c>
      <c r="E3" s="164" t="s">
        <v>1225</v>
      </c>
      <c r="F3" s="164" t="s">
        <v>1289</v>
      </c>
      <c r="G3" s="163" t="s">
        <v>1329</v>
      </c>
      <c r="H3" s="168" t="s">
        <v>1289</v>
      </c>
      <c r="I3" s="163" t="s">
        <v>1330</v>
      </c>
      <c r="J3" s="163" t="s">
        <v>674</v>
      </c>
      <c r="K3" s="163" t="s">
        <v>675</v>
      </c>
      <c r="L3" s="163" t="s">
        <v>1350</v>
      </c>
      <c r="M3" s="163" t="s">
        <v>1346</v>
      </c>
      <c r="N3" s="163" t="s">
        <v>1331</v>
      </c>
    </row>
    <row r="4" spans="1:14" x14ac:dyDescent="0.3">
      <c r="A4" s="204"/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53"/>
      <c r="M4" s="53"/>
      <c r="N4" s="52"/>
    </row>
    <row r="5" spans="1:14" x14ac:dyDescent="0.3">
      <c r="A5" s="147" t="s">
        <v>719</v>
      </c>
      <c r="B5" s="158"/>
      <c r="C5" s="158"/>
      <c r="D5" s="158"/>
      <c r="E5" s="158"/>
      <c r="F5" s="158"/>
      <c r="G5" s="158"/>
      <c r="H5" s="197"/>
      <c r="I5" s="158"/>
      <c r="J5" s="158"/>
      <c r="K5" s="158"/>
      <c r="L5" s="53"/>
      <c r="M5" s="53"/>
      <c r="N5" s="52"/>
    </row>
    <row r="6" spans="1:14" x14ac:dyDescent="0.3">
      <c r="A6" s="51" t="s">
        <v>460</v>
      </c>
      <c r="B6" s="52"/>
      <c r="C6" s="53"/>
      <c r="D6" s="53"/>
      <c r="E6" s="53"/>
      <c r="F6" s="53"/>
      <c r="G6" s="53"/>
      <c r="H6" s="170"/>
      <c r="I6" s="53"/>
      <c r="J6" s="52"/>
      <c r="K6" s="52"/>
      <c r="L6" s="53"/>
      <c r="M6" s="53"/>
      <c r="N6" s="52"/>
    </row>
    <row r="7" spans="1:14" x14ac:dyDescent="0.3">
      <c r="A7" s="73"/>
      <c r="B7" s="74" t="s">
        <v>472</v>
      </c>
      <c r="C7" s="79"/>
      <c r="D7" s="79"/>
      <c r="E7" s="79"/>
      <c r="F7" s="79"/>
      <c r="G7" s="79"/>
      <c r="H7" s="174"/>
      <c r="I7" s="79"/>
      <c r="J7" s="53">
        <v>0</v>
      </c>
      <c r="K7" s="73"/>
      <c r="L7" s="53"/>
      <c r="M7" s="53"/>
      <c r="N7" s="52"/>
    </row>
    <row r="8" spans="1:14" x14ac:dyDescent="0.3">
      <c r="A8" s="52" t="s">
        <v>1255</v>
      </c>
      <c r="B8" s="52" t="s">
        <v>1284</v>
      </c>
      <c r="C8" s="53">
        <v>65000</v>
      </c>
      <c r="D8" s="53"/>
      <c r="E8" s="53">
        <f>C8+D8</f>
        <v>65000</v>
      </c>
      <c r="F8" s="53"/>
      <c r="G8" s="53">
        <f t="shared" ref="G8:G47" si="0">E8+F8</f>
        <v>65000</v>
      </c>
      <c r="H8" s="170"/>
      <c r="I8" s="69">
        <f t="shared" ref="I8:I47" si="1">G8+H8</f>
        <v>65000</v>
      </c>
      <c r="J8" s="53">
        <f t="shared" ref="J8:J26" si="2">C8*104.6%</f>
        <v>67990</v>
      </c>
      <c r="K8" s="53">
        <f>J8*104.6%</f>
        <v>71117.540000000008</v>
      </c>
      <c r="L8" s="53">
        <v>17499.740000000002</v>
      </c>
      <c r="M8" s="53"/>
      <c r="N8" s="53">
        <f>I8-L8-M8</f>
        <v>47500.259999999995</v>
      </c>
    </row>
    <row r="9" spans="1:14" x14ac:dyDescent="0.3">
      <c r="A9" s="52" t="s">
        <v>1256</v>
      </c>
      <c r="B9" s="52" t="s">
        <v>1285</v>
      </c>
      <c r="C9" s="53">
        <v>45000</v>
      </c>
      <c r="D9" s="53"/>
      <c r="E9" s="53">
        <f t="shared" ref="E9:E72" si="3">C9+D9</f>
        <v>45000</v>
      </c>
      <c r="F9" s="53"/>
      <c r="G9" s="53">
        <f t="shared" si="0"/>
        <v>45000</v>
      </c>
      <c r="H9" s="170">
        <v>-30000</v>
      </c>
      <c r="I9" s="69">
        <f t="shared" si="1"/>
        <v>15000</v>
      </c>
      <c r="J9" s="53">
        <f t="shared" si="2"/>
        <v>47070</v>
      </c>
      <c r="K9" s="53">
        <f t="shared" ref="K9" si="4">J9*104.6%</f>
        <v>49235.22</v>
      </c>
      <c r="L9" s="53"/>
      <c r="M9" s="53"/>
      <c r="N9" s="53">
        <f t="shared" ref="N9:N47" si="5">I9-L9-M9</f>
        <v>15000</v>
      </c>
    </row>
    <row r="10" spans="1:14" x14ac:dyDescent="0.3">
      <c r="A10" s="52" t="s">
        <v>1254</v>
      </c>
      <c r="B10" s="52" t="s">
        <v>1286</v>
      </c>
      <c r="C10" s="53">
        <v>25000</v>
      </c>
      <c r="D10" s="53"/>
      <c r="E10" s="53">
        <f t="shared" si="3"/>
        <v>25000</v>
      </c>
      <c r="F10" s="53"/>
      <c r="G10" s="53">
        <f t="shared" si="0"/>
        <v>25000</v>
      </c>
      <c r="H10" s="170"/>
      <c r="I10" s="69">
        <f t="shared" si="1"/>
        <v>25000</v>
      </c>
      <c r="J10" s="53">
        <f t="shared" si="2"/>
        <v>26150</v>
      </c>
      <c r="K10" s="53">
        <f t="shared" ref="K10" si="6">J10*104.6%</f>
        <v>27352.9</v>
      </c>
      <c r="L10" s="53"/>
      <c r="M10" s="53"/>
      <c r="N10" s="53">
        <f t="shared" si="5"/>
        <v>25000</v>
      </c>
    </row>
    <row r="11" spans="1:14" x14ac:dyDescent="0.3">
      <c r="A11" s="52" t="s">
        <v>1257</v>
      </c>
      <c r="B11" s="52" t="s">
        <v>1287</v>
      </c>
      <c r="C11" s="53">
        <v>60000</v>
      </c>
      <c r="D11" s="53"/>
      <c r="E11" s="53">
        <f t="shared" si="3"/>
        <v>60000</v>
      </c>
      <c r="F11" s="53"/>
      <c r="G11" s="53">
        <f t="shared" si="0"/>
        <v>60000</v>
      </c>
      <c r="H11" s="170">
        <v>-19000</v>
      </c>
      <c r="I11" s="69">
        <f t="shared" si="1"/>
        <v>41000</v>
      </c>
      <c r="J11" s="53">
        <f t="shared" si="2"/>
        <v>62760</v>
      </c>
      <c r="K11" s="53">
        <f t="shared" ref="K11" si="7">J11*104.6%</f>
        <v>65646.960000000006</v>
      </c>
      <c r="L11" s="53"/>
      <c r="M11" s="53"/>
      <c r="N11" s="53">
        <f t="shared" si="5"/>
        <v>41000</v>
      </c>
    </row>
    <row r="12" spans="1:14" x14ac:dyDescent="0.3">
      <c r="A12" s="52" t="s">
        <v>1258</v>
      </c>
      <c r="B12" s="52" t="s">
        <v>1288</v>
      </c>
      <c r="C12" s="53">
        <v>35000</v>
      </c>
      <c r="D12" s="53"/>
      <c r="E12" s="53">
        <f t="shared" si="3"/>
        <v>35000</v>
      </c>
      <c r="F12" s="53"/>
      <c r="G12" s="53">
        <f t="shared" si="0"/>
        <v>35000</v>
      </c>
      <c r="H12" s="170"/>
      <c r="I12" s="69">
        <f t="shared" si="1"/>
        <v>35000</v>
      </c>
      <c r="J12" s="53">
        <f t="shared" si="2"/>
        <v>36610</v>
      </c>
      <c r="K12" s="53">
        <f t="shared" ref="K12" si="8">J12*104.6%</f>
        <v>38294.060000000005</v>
      </c>
      <c r="L12" s="53">
        <v>4261.08</v>
      </c>
      <c r="M12" s="53"/>
      <c r="N12" s="53">
        <f t="shared" si="5"/>
        <v>30738.92</v>
      </c>
    </row>
    <row r="13" spans="1:14" x14ac:dyDescent="0.3">
      <c r="A13" s="52"/>
      <c r="B13" s="52"/>
      <c r="C13" s="53">
        <v>0</v>
      </c>
      <c r="D13" s="53"/>
      <c r="E13" s="53">
        <f t="shared" si="3"/>
        <v>0</v>
      </c>
      <c r="F13" s="53"/>
      <c r="G13" s="53">
        <f t="shared" si="0"/>
        <v>0</v>
      </c>
      <c r="H13" s="170"/>
      <c r="I13" s="69">
        <f t="shared" si="1"/>
        <v>0</v>
      </c>
      <c r="J13" s="53">
        <f t="shared" si="2"/>
        <v>0</v>
      </c>
      <c r="K13" s="53">
        <f t="shared" ref="K13" si="9">J13*104.6%</f>
        <v>0</v>
      </c>
      <c r="L13" s="53"/>
      <c r="M13" s="53"/>
      <c r="N13" s="53">
        <f t="shared" si="5"/>
        <v>0</v>
      </c>
    </row>
    <row r="14" spans="1:14" x14ac:dyDescent="0.3">
      <c r="A14" s="52" t="s">
        <v>1259</v>
      </c>
      <c r="B14" s="52" t="s">
        <v>473</v>
      </c>
      <c r="C14" s="53">
        <v>550000</v>
      </c>
      <c r="D14" s="53"/>
      <c r="E14" s="53">
        <f t="shared" si="3"/>
        <v>550000</v>
      </c>
      <c r="F14" s="53"/>
      <c r="G14" s="53">
        <f t="shared" si="0"/>
        <v>550000</v>
      </c>
      <c r="H14" s="170">
        <v>150000</v>
      </c>
      <c r="I14" s="69">
        <f t="shared" si="1"/>
        <v>700000</v>
      </c>
      <c r="J14" s="53">
        <f t="shared" si="2"/>
        <v>575300</v>
      </c>
      <c r="K14" s="53">
        <f t="shared" ref="K14" si="10">J14*104.6%</f>
        <v>601763.80000000005</v>
      </c>
      <c r="L14" s="53">
        <v>457239.98000000004</v>
      </c>
      <c r="M14" s="53">
        <v>14431.1</v>
      </c>
      <c r="N14" s="53">
        <f t="shared" si="5"/>
        <v>228328.91999999995</v>
      </c>
    </row>
    <row r="15" spans="1:14" x14ac:dyDescent="0.3">
      <c r="A15" s="52"/>
      <c r="B15" s="51" t="s">
        <v>476</v>
      </c>
      <c r="C15" s="53">
        <v>0</v>
      </c>
      <c r="D15" s="53"/>
      <c r="E15" s="53">
        <f t="shared" si="3"/>
        <v>0</v>
      </c>
      <c r="F15" s="53"/>
      <c r="G15" s="53">
        <f t="shared" si="0"/>
        <v>0</v>
      </c>
      <c r="H15" s="170"/>
      <c r="I15" s="69">
        <f t="shared" si="1"/>
        <v>0</v>
      </c>
      <c r="J15" s="53">
        <f t="shared" si="2"/>
        <v>0</v>
      </c>
      <c r="K15" s="53">
        <f t="shared" ref="K15" si="11">J15*104.6%</f>
        <v>0</v>
      </c>
      <c r="L15" s="53"/>
      <c r="M15" s="53"/>
      <c r="N15" s="53">
        <f t="shared" si="5"/>
        <v>0</v>
      </c>
    </row>
    <row r="16" spans="1:14" x14ac:dyDescent="0.3">
      <c r="A16" s="52" t="s">
        <v>1322</v>
      </c>
      <c r="B16" s="52" t="s">
        <v>209</v>
      </c>
      <c r="C16" s="53">
        <v>150000</v>
      </c>
      <c r="D16" s="53"/>
      <c r="E16" s="53">
        <f t="shared" si="3"/>
        <v>150000</v>
      </c>
      <c r="F16" s="53"/>
      <c r="G16" s="53">
        <f t="shared" si="0"/>
        <v>150000</v>
      </c>
      <c r="H16" s="170">
        <v>-109000</v>
      </c>
      <c r="I16" s="69">
        <f t="shared" si="1"/>
        <v>41000</v>
      </c>
      <c r="J16" s="53">
        <f t="shared" si="2"/>
        <v>156900</v>
      </c>
      <c r="K16" s="53">
        <f t="shared" ref="K16" si="12">J16*104.6%</f>
        <v>164117.4</v>
      </c>
      <c r="L16" s="53">
        <v>10800</v>
      </c>
      <c r="M16" s="53"/>
      <c r="N16" s="53">
        <f t="shared" si="5"/>
        <v>30200</v>
      </c>
    </row>
    <row r="17" spans="1:16" x14ac:dyDescent="0.3">
      <c r="A17" s="52" t="s">
        <v>1320</v>
      </c>
      <c r="B17" s="52" t="s">
        <v>240</v>
      </c>
      <c r="C17" s="53">
        <v>60000</v>
      </c>
      <c r="D17" s="53"/>
      <c r="E17" s="53">
        <f t="shared" si="3"/>
        <v>60000</v>
      </c>
      <c r="F17" s="53"/>
      <c r="G17" s="53">
        <f t="shared" si="0"/>
        <v>60000</v>
      </c>
      <c r="H17" s="170">
        <v>-10000</v>
      </c>
      <c r="I17" s="69">
        <f t="shared" si="1"/>
        <v>50000</v>
      </c>
      <c r="J17" s="53">
        <f t="shared" si="2"/>
        <v>62760</v>
      </c>
      <c r="K17" s="53">
        <f t="shared" ref="K17" si="13">J17*104.6%</f>
        <v>65646.960000000006</v>
      </c>
      <c r="L17" s="53">
        <v>0</v>
      </c>
      <c r="M17" s="53"/>
      <c r="N17" s="53">
        <f t="shared" si="5"/>
        <v>50000</v>
      </c>
    </row>
    <row r="18" spans="1:16" x14ac:dyDescent="0.3">
      <c r="A18" s="52" t="s">
        <v>1323</v>
      </c>
      <c r="B18" s="52" t="s">
        <v>207</v>
      </c>
      <c r="C18" s="53">
        <v>150000</v>
      </c>
      <c r="D18" s="53"/>
      <c r="E18" s="53">
        <f t="shared" si="3"/>
        <v>150000</v>
      </c>
      <c r="F18" s="53"/>
      <c r="G18" s="53">
        <f t="shared" si="0"/>
        <v>150000</v>
      </c>
      <c r="H18" s="170">
        <v>45120</v>
      </c>
      <c r="I18" s="69">
        <f t="shared" si="1"/>
        <v>195120</v>
      </c>
      <c r="J18" s="53">
        <f t="shared" si="2"/>
        <v>156900</v>
      </c>
      <c r="K18" s="53">
        <f t="shared" ref="K18" si="14">J18*104.6%</f>
        <v>164117.4</v>
      </c>
      <c r="L18" s="53">
        <v>104880</v>
      </c>
      <c r="M18" s="53"/>
      <c r="N18" s="53">
        <f t="shared" si="5"/>
        <v>90240</v>
      </c>
    </row>
    <row r="19" spans="1:16" x14ac:dyDescent="0.3">
      <c r="A19" s="52" t="s">
        <v>1353</v>
      </c>
      <c r="B19" s="52" t="s">
        <v>208</v>
      </c>
      <c r="C19" s="53">
        <v>50000</v>
      </c>
      <c r="D19" s="53"/>
      <c r="E19" s="53">
        <f t="shared" si="3"/>
        <v>50000</v>
      </c>
      <c r="F19" s="53"/>
      <c r="G19" s="53">
        <f t="shared" si="0"/>
        <v>50000</v>
      </c>
      <c r="H19" s="170">
        <v>-50000</v>
      </c>
      <c r="I19" s="69">
        <f t="shared" si="1"/>
        <v>0</v>
      </c>
      <c r="J19" s="53">
        <f t="shared" si="2"/>
        <v>52300</v>
      </c>
      <c r="K19" s="53">
        <f t="shared" ref="K19" si="15">J19*104.6%</f>
        <v>54705.8</v>
      </c>
      <c r="L19" s="53"/>
      <c r="M19" s="53"/>
      <c r="N19" s="53">
        <f t="shared" si="5"/>
        <v>0</v>
      </c>
    </row>
    <row r="20" spans="1:16" x14ac:dyDescent="0.3">
      <c r="A20" s="52"/>
      <c r="B20" s="51" t="s">
        <v>477</v>
      </c>
      <c r="C20" s="53">
        <v>0</v>
      </c>
      <c r="D20" s="53"/>
      <c r="E20" s="53">
        <f t="shared" si="3"/>
        <v>0</v>
      </c>
      <c r="F20" s="53"/>
      <c r="G20" s="53">
        <f t="shared" si="0"/>
        <v>0</v>
      </c>
      <c r="H20" s="170"/>
      <c r="I20" s="69">
        <f t="shared" si="1"/>
        <v>0</v>
      </c>
      <c r="J20" s="53">
        <f t="shared" si="2"/>
        <v>0</v>
      </c>
      <c r="K20" s="53">
        <f t="shared" ref="K20" si="16">J20*104.6%</f>
        <v>0</v>
      </c>
      <c r="L20" s="53"/>
      <c r="M20" s="53"/>
      <c r="N20" s="53">
        <f t="shared" si="5"/>
        <v>0</v>
      </c>
    </row>
    <row r="21" spans="1:16" x14ac:dyDescent="0.3">
      <c r="A21" s="52" t="s">
        <v>1260</v>
      </c>
      <c r="B21" s="52" t="s">
        <v>237</v>
      </c>
      <c r="C21" s="53">
        <v>35000</v>
      </c>
      <c r="D21" s="53"/>
      <c r="E21" s="53">
        <f t="shared" si="3"/>
        <v>35000</v>
      </c>
      <c r="F21" s="53"/>
      <c r="G21" s="53">
        <f t="shared" si="0"/>
        <v>35000</v>
      </c>
      <c r="H21" s="170">
        <v>-10000</v>
      </c>
      <c r="I21" s="69">
        <f t="shared" si="1"/>
        <v>25000</v>
      </c>
      <c r="J21" s="53">
        <f t="shared" si="2"/>
        <v>36610</v>
      </c>
      <c r="K21" s="53">
        <f t="shared" ref="K21" si="17">J21*104.6%</f>
        <v>38294.060000000005</v>
      </c>
      <c r="L21" s="53"/>
      <c r="M21" s="53"/>
      <c r="N21" s="53">
        <f t="shared" si="5"/>
        <v>25000</v>
      </c>
    </row>
    <row r="22" spans="1:16" x14ac:dyDescent="0.3">
      <c r="A22" s="52" t="s">
        <v>1261</v>
      </c>
      <c r="B22" s="52" t="s">
        <v>212</v>
      </c>
      <c r="C22" s="53">
        <v>25000</v>
      </c>
      <c r="D22" s="53"/>
      <c r="E22" s="53">
        <f t="shared" si="3"/>
        <v>25000</v>
      </c>
      <c r="F22" s="53"/>
      <c r="G22" s="53">
        <f t="shared" si="0"/>
        <v>25000</v>
      </c>
      <c r="H22" s="170">
        <v>-10000</v>
      </c>
      <c r="I22" s="69">
        <f t="shared" si="1"/>
        <v>15000</v>
      </c>
      <c r="J22" s="53">
        <f t="shared" si="2"/>
        <v>26150</v>
      </c>
      <c r="K22" s="53">
        <f t="shared" ref="K22" si="18">J22*104.6%</f>
        <v>27352.9</v>
      </c>
      <c r="L22" s="53">
        <v>3036</v>
      </c>
      <c r="M22" s="53"/>
      <c r="N22" s="53">
        <f t="shared" si="5"/>
        <v>11964</v>
      </c>
    </row>
    <row r="23" spans="1:16" x14ac:dyDescent="0.3">
      <c r="A23" s="52" t="s">
        <v>1253</v>
      </c>
      <c r="B23" s="52" t="s">
        <v>222</v>
      </c>
      <c r="C23" s="53">
        <v>65000</v>
      </c>
      <c r="D23" s="53">
        <v>100000</v>
      </c>
      <c r="E23" s="53">
        <f t="shared" si="3"/>
        <v>165000</v>
      </c>
      <c r="F23" s="53"/>
      <c r="G23" s="53">
        <f t="shared" si="0"/>
        <v>165000</v>
      </c>
      <c r="H23" s="170">
        <v>198000</v>
      </c>
      <c r="I23" s="69">
        <f t="shared" si="1"/>
        <v>363000</v>
      </c>
      <c r="J23" s="53">
        <f t="shared" si="2"/>
        <v>67990</v>
      </c>
      <c r="K23" s="53">
        <f t="shared" ref="K23" si="19">J23*104.6%</f>
        <v>71117.540000000008</v>
      </c>
      <c r="L23" s="53">
        <v>372666</v>
      </c>
      <c r="M23" s="53">
        <v>84866</v>
      </c>
      <c r="N23" s="53">
        <f t="shared" si="5"/>
        <v>-94532</v>
      </c>
    </row>
    <row r="24" spans="1:16" x14ac:dyDescent="0.3">
      <c r="A24" s="52"/>
      <c r="B24" s="51" t="s">
        <v>463</v>
      </c>
      <c r="C24" s="53">
        <v>0</v>
      </c>
      <c r="D24" s="53"/>
      <c r="E24" s="53">
        <f t="shared" si="3"/>
        <v>0</v>
      </c>
      <c r="F24" s="53"/>
      <c r="G24" s="53">
        <f t="shared" si="0"/>
        <v>0</v>
      </c>
      <c r="H24" s="170"/>
      <c r="I24" s="69">
        <f t="shared" si="1"/>
        <v>0</v>
      </c>
      <c r="J24" s="53">
        <f t="shared" si="2"/>
        <v>0</v>
      </c>
      <c r="K24" s="53">
        <f t="shared" ref="K24" si="20">J24*104.6%</f>
        <v>0</v>
      </c>
      <c r="L24" s="53"/>
      <c r="M24" s="53"/>
      <c r="N24" s="53">
        <f t="shared" si="5"/>
        <v>0</v>
      </c>
    </row>
    <row r="25" spans="1:16" x14ac:dyDescent="0.3">
      <c r="A25" s="52" t="s">
        <v>1262</v>
      </c>
      <c r="B25" s="52" t="s">
        <v>525</v>
      </c>
      <c r="C25" s="53">
        <v>250000</v>
      </c>
      <c r="D25" s="53"/>
      <c r="E25" s="53">
        <f t="shared" si="3"/>
        <v>250000</v>
      </c>
      <c r="F25" s="53"/>
      <c r="G25" s="53">
        <f t="shared" si="0"/>
        <v>250000</v>
      </c>
      <c r="H25" s="170">
        <v>-250000</v>
      </c>
      <c r="I25" s="69">
        <f t="shared" si="1"/>
        <v>0</v>
      </c>
      <c r="J25" s="53">
        <f t="shared" si="2"/>
        <v>261500</v>
      </c>
      <c r="K25" s="53">
        <f t="shared" ref="K25" si="21">J25*104.6%</f>
        <v>273529</v>
      </c>
      <c r="L25" s="53"/>
      <c r="M25" s="53"/>
      <c r="N25" s="53">
        <f t="shared" si="5"/>
        <v>0</v>
      </c>
    </row>
    <row r="26" spans="1:16" x14ac:dyDescent="0.3">
      <c r="A26" s="52" t="s">
        <v>1263</v>
      </c>
      <c r="B26" s="52" t="s">
        <v>1282</v>
      </c>
      <c r="C26" s="53">
        <v>350000</v>
      </c>
      <c r="D26" s="53"/>
      <c r="E26" s="53">
        <f t="shared" si="3"/>
        <v>350000</v>
      </c>
      <c r="F26" s="53"/>
      <c r="G26" s="53">
        <f t="shared" si="0"/>
        <v>350000</v>
      </c>
      <c r="H26" s="170">
        <f>-100000-100000</f>
        <v>-200000</v>
      </c>
      <c r="I26" s="69">
        <f t="shared" si="1"/>
        <v>150000</v>
      </c>
      <c r="J26" s="53">
        <f t="shared" si="2"/>
        <v>366100</v>
      </c>
      <c r="K26" s="53">
        <f t="shared" ref="K26" si="22">J26*104.6%</f>
        <v>382940.60000000003</v>
      </c>
      <c r="L26" s="53"/>
      <c r="M26" s="53"/>
      <c r="N26" s="53">
        <f t="shared" si="5"/>
        <v>150000</v>
      </c>
    </row>
    <row r="27" spans="1:16" s="211" customFormat="1" x14ac:dyDescent="0.3">
      <c r="A27" s="208" t="s">
        <v>1355</v>
      </c>
      <c r="B27" s="208" t="s">
        <v>1347</v>
      </c>
      <c r="C27" s="149"/>
      <c r="D27" s="149"/>
      <c r="E27" s="149"/>
      <c r="F27" s="149"/>
      <c r="G27" s="149"/>
      <c r="H27" s="209">
        <v>37000</v>
      </c>
      <c r="I27" s="210">
        <f t="shared" si="1"/>
        <v>37000</v>
      </c>
      <c r="J27" s="149"/>
      <c r="K27" s="149"/>
      <c r="L27" s="149"/>
      <c r="M27" s="149"/>
      <c r="N27" s="53">
        <f t="shared" si="5"/>
        <v>37000</v>
      </c>
      <c r="P27" s="217"/>
    </row>
    <row r="28" spans="1:16" x14ac:dyDescent="0.3">
      <c r="A28" s="52"/>
      <c r="B28" s="52"/>
      <c r="C28" s="53"/>
      <c r="D28" s="53"/>
      <c r="E28" s="53">
        <f t="shared" si="3"/>
        <v>0</v>
      </c>
      <c r="F28" s="53"/>
      <c r="G28" s="53">
        <f t="shared" si="0"/>
        <v>0</v>
      </c>
      <c r="H28" s="170"/>
      <c r="I28" s="69">
        <f t="shared" si="1"/>
        <v>0</v>
      </c>
      <c r="J28" s="53"/>
      <c r="K28" s="53"/>
      <c r="L28" s="53"/>
      <c r="M28" s="53"/>
      <c r="N28" s="53">
        <f t="shared" si="5"/>
        <v>0</v>
      </c>
    </row>
    <row r="29" spans="1:16" x14ac:dyDescent="0.3">
      <c r="A29" s="52" t="s">
        <v>1321</v>
      </c>
      <c r="B29" s="52" t="s">
        <v>50</v>
      </c>
      <c r="C29" s="53">
        <v>102124.41389375</v>
      </c>
      <c r="D29" s="53"/>
      <c r="E29" s="53">
        <f t="shared" si="3"/>
        <v>102124.41389375</v>
      </c>
      <c r="F29" s="53"/>
      <c r="G29" s="53">
        <f t="shared" si="0"/>
        <v>102124.41389375</v>
      </c>
      <c r="H29" s="170"/>
      <c r="I29" s="69">
        <f t="shared" si="1"/>
        <v>102124.41389375</v>
      </c>
      <c r="J29" s="53">
        <f t="shared" ref="J29:J43" si="23">C29*104.6%</f>
        <v>106822.1369328625</v>
      </c>
      <c r="K29" s="53">
        <f t="shared" ref="K29" si="24">J29*104.6%</f>
        <v>111735.95523177418</v>
      </c>
      <c r="L29" s="53">
        <v>51472.84</v>
      </c>
      <c r="M29" s="53"/>
      <c r="N29" s="53">
        <f t="shared" si="5"/>
        <v>50651.573893749999</v>
      </c>
    </row>
    <row r="30" spans="1:16" x14ac:dyDescent="0.3">
      <c r="A30" s="52"/>
      <c r="B30" s="51" t="s">
        <v>725</v>
      </c>
      <c r="C30" s="53">
        <v>0</v>
      </c>
      <c r="D30" s="53"/>
      <c r="E30" s="53">
        <f t="shared" si="3"/>
        <v>0</v>
      </c>
      <c r="F30" s="53"/>
      <c r="G30" s="53">
        <f t="shared" si="0"/>
        <v>0</v>
      </c>
      <c r="H30" s="170"/>
      <c r="I30" s="69">
        <f t="shared" si="1"/>
        <v>0</v>
      </c>
      <c r="J30" s="53">
        <f t="shared" si="23"/>
        <v>0</v>
      </c>
      <c r="K30" s="53">
        <f t="shared" ref="K30" si="25">J30*104.6%</f>
        <v>0</v>
      </c>
      <c r="L30" s="53"/>
      <c r="M30" s="53"/>
      <c r="N30" s="53">
        <f t="shared" si="5"/>
        <v>0</v>
      </c>
    </row>
    <row r="31" spans="1:16" x14ac:dyDescent="0.3">
      <c r="A31" s="52" t="s">
        <v>1319</v>
      </c>
      <c r="B31" s="52" t="s">
        <v>223</v>
      </c>
      <c r="C31" s="53">
        <v>2100</v>
      </c>
      <c r="D31" s="53"/>
      <c r="E31" s="53">
        <f t="shared" si="3"/>
        <v>2100</v>
      </c>
      <c r="F31" s="53"/>
      <c r="G31" s="53">
        <f t="shared" si="0"/>
        <v>2100</v>
      </c>
      <c r="H31" s="170"/>
      <c r="I31" s="69">
        <f t="shared" si="1"/>
        <v>2100</v>
      </c>
      <c r="J31" s="53">
        <f t="shared" si="23"/>
        <v>2196.6</v>
      </c>
      <c r="K31" s="53">
        <f t="shared" ref="K31" si="26">J31*104.6%</f>
        <v>2297.6435999999999</v>
      </c>
      <c r="L31" s="53"/>
      <c r="M31" s="53"/>
      <c r="N31" s="53">
        <f t="shared" si="5"/>
        <v>2100</v>
      </c>
    </row>
    <row r="32" spans="1:16" x14ac:dyDescent="0.3">
      <c r="A32" s="52" t="s">
        <v>1264</v>
      </c>
      <c r="B32" s="52" t="s">
        <v>236</v>
      </c>
      <c r="C32" s="53">
        <v>30000</v>
      </c>
      <c r="D32" s="53"/>
      <c r="E32" s="53">
        <f t="shared" si="3"/>
        <v>30000</v>
      </c>
      <c r="F32" s="53"/>
      <c r="G32" s="53">
        <f t="shared" si="0"/>
        <v>30000</v>
      </c>
      <c r="H32" s="170"/>
      <c r="I32" s="69">
        <f t="shared" si="1"/>
        <v>30000</v>
      </c>
      <c r="J32" s="53">
        <f t="shared" si="23"/>
        <v>31380</v>
      </c>
      <c r="K32" s="53">
        <f t="shared" ref="K32" si="27">J32*104.6%</f>
        <v>32823.480000000003</v>
      </c>
      <c r="L32" s="53"/>
      <c r="M32" s="53"/>
      <c r="N32" s="53">
        <f t="shared" si="5"/>
        <v>30000</v>
      </c>
    </row>
    <row r="33" spans="1:16" x14ac:dyDescent="0.3">
      <c r="A33" s="52" t="s">
        <v>1265</v>
      </c>
      <c r="B33" s="52" t="s">
        <v>44</v>
      </c>
      <c r="C33" s="53">
        <v>52700</v>
      </c>
      <c r="D33" s="53"/>
      <c r="E33" s="53">
        <f t="shared" si="3"/>
        <v>52700</v>
      </c>
      <c r="F33" s="53"/>
      <c r="G33" s="53">
        <f t="shared" si="0"/>
        <v>52700</v>
      </c>
      <c r="H33" s="170"/>
      <c r="I33" s="69">
        <f t="shared" si="1"/>
        <v>52700</v>
      </c>
      <c r="J33" s="53">
        <f t="shared" si="23"/>
        <v>55124.200000000004</v>
      </c>
      <c r="K33" s="53">
        <f t="shared" ref="K33" si="28">J33*104.6%</f>
        <v>57659.91320000001</v>
      </c>
      <c r="L33" s="53">
        <v>29186.31</v>
      </c>
      <c r="M33" s="53"/>
      <c r="N33" s="53">
        <f t="shared" si="5"/>
        <v>23513.69</v>
      </c>
    </row>
    <row r="34" spans="1:16" x14ac:dyDescent="0.3">
      <c r="A34" s="52" t="s">
        <v>1266</v>
      </c>
      <c r="B34" s="52" t="s">
        <v>42</v>
      </c>
      <c r="C34" s="53">
        <v>70000</v>
      </c>
      <c r="D34" s="53"/>
      <c r="E34" s="53">
        <f t="shared" si="3"/>
        <v>70000</v>
      </c>
      <c r="F34" s="53"/>
      <c r="G34" s="53">
        <f t="shared" si="0"/>
        <v>70000</v>
      </c>
      <c r="H34" s="170">
        <v>-40000</v>
      </c>
      <c r="I34" s="69">
        <f t="shared" si="1"/>
        <v>30000</v>
      </c>
      <c r="J34" s="53">
        <f t="shared" si="23"/>
        <v>73220</v>
      </c>
      <c r="K34" s="53">
        <f t="shared" ref="K34" si="29">J34*104.6%</f>
        <v>76588.12000000001</v>
      </c>
      <c r="L34" s="53"/>
      <c r="M34" s="53"/>
      <c r="N34" s="53">
        <f t="shared" si="5"/>
        <v>30000</v>
      </c>
    </row>
    <row r="35" spans="1:16" x14ac:dyDescent="0.3">
      <c r="A35" s="52" t="s">
        <v>1267</v>
      </c>
      <c r="B35" s="52" t="s">
        <v>46</v>
      </c>
      <c r="C35" s="53">
        <v>25000</v>
      </c>
      <c r="D35" s="53"/>
      <c r="E35" s="53">
        <f t="shared" si="3"/>
        <v>25000</v>
      </c>
      <c r="F35" s="53"/>
      <c r="G35" s="53">
        <f t="shared" si="0"/>
        <v>25000</v>
      </c>
      <c r="H35" s="170"/>
      <c r="I35" s="69">
        <f t="shared" si="1"/>
        <v>25000</v>
      </c>
      <c r="J35" s="53">
        <f t="shared" si="23"/>
        <v>26150</v>
      </c>
      <c r="K35" s="53">
        <f t="shared" ref="K35" si="30">J35*104.6%</f>
        <v>27352.9</v>
      </c>
      <c r="L35" s="53">
        <v>4151</v>
      </c>
      <c r="M35" s="53"/>
      <c r="N35" s="53">
        <f t="shared" si="5"/>
        <v>20849</v>
      </c>
    </row>
    <row r="36" spans="1:16" x14ac:dyDescent="0.3">
      <c r="A36" s="52" t="s">
        <v>1268</v>
      </c>
      <c r="B36" s="52" t="s">
        <v>528</v>
      </c>
      <c r="C36" s="53">
        <v>3000</v>
      </c>
      <c r="D36" s="53"/>
      <c r="E36" s="53">
        <f t="shared" si="3"/>
        <v>3000</v>
      </c>
      <c r="F36" s="53"/>
      <c r="G36" s="53">
        <f t="shared" si="0"/>
        <v>3000</v>
      </c>
      <c r="H36" s="170"/>
      <c r="I36" s="69">
        <f t="shared" si="1"/>
        <v>3000</v>
      </c>
      <c r="J36" s="53">
        <f t="shared" si="23"/>
        <v>3138</v>
      </c>
      <c r="K36" s="53">
        <f t="shared" ref="K36" si="31">J36*104.6%</f>
        <v>3282.348</v>
      </c>
      <c r="L36" s="53"/>
      <c r="M36" s="53"/>
      <c r="N36" s="53">
        <f t="shared" si="5"/>
        <v>3000</v>
      </c>
    </row>
    <row r="37" spans="1:16" x14ac:dyDescent="0.3">
      <c r="A37" s="52" t="s">
        <v>1269</v>
      </c>
      <c r="B37" s="52" t="s">
        <v>527</v>
      </c>
      <c r="C37" s="53">
        <v>12000</v>
      </c>
      <c r="D37" s="53"/>
      <c r="E37" s="53">
        <f t="shared" si="3"/>
        <v>12000</v>
      </c>
      <c r="F37" s="53"/>
      <c r="G37" s="53">
        <f t="shared" si="0"/>
        <v>12000</v>
      </c>
      <c r="H37" s="170"/>
      <c r="I37" s="69">
        <f t="shared" si="1"/>
        <v>12000</v>
      </c>
      <c r="J37" s="53">
        <f t="shared" si="23"/>
        <v>12552</v>
      </c>
      <c r="K37" s="53">
        <f t="shared" ref="K37" si="32">J37*104.6%</f>
        <v>13129.392</v>
      </c>
      <c r="L37" s="53"/>
      <c r="M37" s="53"/>
      <c r="N37" s="53">
        <f t="shared" si="5"/>
        <v>12000</v>
      </c>
    </row>
    <row r="38" spans="1:16" x14ac:dyDescent="0.3">
      <c r="A38" s="52" t="s">
        <v>1270</v>
      </c>
      <c r="B38" s="52" t="s">
        <v>529</v>
      </c>
      <c r="C38" s="53">
        <v>2108</v>
      </c>
      <c r="D38" s="53"/>
      <c r="E38" s="53">
        <f t="shared" si="3"/>
        <v>2108</v>
      </c>
      <c r="F38" s="53"/>
      <c r="G38" s="53">
        <f t="shared" si="0"/>
        <v>2108</v>
      </c>
      <c r="H38" s="170"/>
      <c r="I38" s="69">
        <f t="shared" si="1"/>
        <v>2108</v>
      </c>
      <c r="J38" s="53">
        <f t="shared" si="23"/>
        <v>2204.9680000000003</v>
      </c>
      <c r="K38" s="53">
        <f t="shared" ref="K38" si="33">J38*104.6%</f>
        <v>2306.3965280000002</v>
      </c>
      <c r="L38" s="53"/>
      <c r="M38" s="53"/>
      <c r="N38" s="53">
        <f t="shared" si="5"/>
        <v>2108</v>
      </c>
    </row>
    <row r="39" spans="1:16" x14ac:dyDescent="0.3">
      <c r="A39" s="52"/>
      <c r="B39" s="51" t="s">
        <v>479</v>
      </c>
      <c r="C39" s="53">
        <v>0</v>
      </c>
      <c r="D39" s="53"/>
      <c r="E39" s="53">
        <f t="shared" si="3"/>
        <v>0</v>
      </c>
      <c r="F39" s="53"/>
      <c r="G39" s="53">
        <f t="shared" si="0"/>
        <v>0</v>
      </c>
      <c r="H39" s="170"/>
      <c r="I39" s="69">
        <f t="shared" si="1"/>
        <v>0</v>
      </c>
      <c r="J39" s="53">
        <f t="shared" si="23"/>
        <v>0</v>
      </c>
      <c r="K39" s="53">
        <f t="shared" ref="K39" si="34">J39*104.6%</f>
        <v>0</v>
      </c>
      <c r="L39" s="53"/>
      <c r="M39" s="53"/>
      <c r="N39" s="53">
        <f t="shared" si="5"/>
        <v>0</v>
      </c>
    </row>
    <row r="40" spans="1:16" x14ac:dyDescent="0.3">
      <c r="A40" s="52" t="s">
        <v>1271</v>
      </c>
      <c r="B40" s="52" t="s">
        <v>213</v>
      </c>
      <c r="C40" s="53">
        <v>0</v>
      </c>
      <c r="D40" s="53"/>
      <c r="E40" s="53">
        <f t="shared" si="3"/>
        <v>0</v>
      </c>
      <c r="F40" s="53"/>
      <c r="G40" s="53">
        <f t="shared" si="0"/>
        <v>0</v>
      </c>
      <c r="H40" s="170"/>
      <c r="I40" s="69">
        <f t="shared" si="1"/>
        <v>0</v>
      </c>
      <c r="J40" s="53">
        <f t="shared" si="23"/>
        <v>0</v>
      </c>
      <c r="K40" s="53">
        <f t="shared" ref="K40" si="35">J40*104.6%</f>
        <v>0</v>
      </c>
      <c r="L40" s="53"/>
      <c r="M40" s="53"/>
      <c r="N40" s="53">
        <f t="shared" si="5"/>
        <v>0</v>
      </c>
    </row>
    <row r="41" spans="1:16" x14ac:dyDescent="0.3">
      <c r="A41" s="52" t="s">
        <v>1272</v>
      </c>
      <c r="B41" s="52" t="s">
        <v>239</v>
      </c>
      <c r="C41" s="53">
        <v>150000</v>
      </c>
      <c r="D41" s="53"/>
      <c r="E41" s="53">
        <f t="shared" si="3"/>
        <v>150000</v>
      </c>
      <c r="F41" s="53"/>
      <c r="G41" s="53">
        <f t="shared" si="0"/>
        <v>150000</v>
      </c>
      <c r="H41" s="170">
        <v>-80000</v>
      </c>
      <c r="I41" s="69">
        <f t="shared" si="1"/>
        <v>70000</v>
      </c>
      <c r="J41" s="53">
        <f t="shared" si="23"/>
        <v>156900</v>
      </c>
      <c r="K41" s="53">
        <f t="shared" ref="K41" si="36">J41*104.6%</f>
        <v>164117.4</v>
      </c>
      <c r="L41" s="53"/>
      <c r="M41" s="53"/>
      <c r="N41" s="53">
        <f t="shared" si="5"/>
        <v>70000</v>
      </c>
    </row>
    <row r="42" spans="1:16" x14ac:dyDescent="0.3">
      <c r="A42" s="52" t="s">
        <v>1273</v>
      </c>
      <c r="B42" s="52" t="s">
        <v>214</v>
      </c>
      <c r="C42" s="53">
        <v>40000</v>
      </c>
      <c r="D42" s="53"/>
      <c r="E42" s="53">
        <f t="shared" si="3"/>
        <v>40000</v>
      </c>
      <c r="F42" s="53"/>
      <c r="G42" s="53">
        <f t="shared" si="0"/>
        <v>40000</v>
      </c>
      <c r="H42" s="170"/>
      <c r="I42" s="69">
        <f t="shared" si="1"/>
        <v>40000</v>
      </c>
      <c r="J42" s="53">
        <f t="shared" si="23"/>
        <v>41840</v>
      </c>
      <c r="K42" s="53">
        <f t="shared" ref="K42" si="37">J42*104.6%</f>
        <v>43764.639999999999</v>
      </c>
      <c r="L42" s="53">
        <v>5876</v>
      </c>
      <c r="M42" s="53"/>
      <c r="N42" s="53">
        <f t="shared" si="5"/>
        <v>34124</v>
      </c>
    </row>
    <row r="43" spans="1:16" x14ac:dyDescent="0.3">
      <c r="A43" s="52" t="s">
        <v>1274</v>
      </c>
      <c r="B43" s="52" t="s">
        <v>215</v>
      </c>
      <c r="C43" s="53">
        <v>800000</v>
      </c>
      <c r="D43" s="53"/>
      <c r="E43" s="53">
        <f t="shared" si="3"/>
        <v>800000</v>
      </c>
      <c r="F43" s="53"/>
      <c r="G43" s="53">
        <f t="shared" si="0"/>
        <v>800000</v>
      </c>
      <c r="H43" s="170">
        <f>240880-100000</f>
        <v>140880</v>
      </c>
      <c r="I43" s="69">
        <f t="shared" si="1"/>
        <v>940880</v>
      </c>
      <c r="J43" s="53">
        <f t="shared" si="23"/>
        <v>836800</v>
      </c>
      <c r="K43" s="53">
        <f t="shared" ref="K43" si="38">J43*104.6%</f>
        <v>875292.8</v>
      </c>
      <c r="L43" s="53">
        <v>702500</v>
      </c>
      <c r="M43" s="53"/>
      <c r="N43" s="53">
        <f t="shared" si="5"/>
        <v>238380</v>
      </c>
    </row>
    <row r="44" spans="1:16" x14ac:dyDescent="0.3">
      <c r="A44" s="52"/>
      <c r="B44" s="52"/>
      <c r="C44" s="53"/>
      <c r="D44" s="53"/>
      <c r="E44" s="53">
        <f t="shared" si="3"/>
        <v>0</v>
      </c>
      <c r="F44" s="53"/>
      <c r="G44" s="53">
        <f t="shared" si="0"/>
        <v>0</v>
      </c>
      <c r="H44" s="170"/>
      <c r="I44" s="69">
        <f t="shared" si="1"/>
        <v>0</v>
      </c>
      <c r="J44" s="53"/>
      <c r="K44" s="53"/>
      <c r="L44" s="53"/>
      <c r="M44" s="53"/>
      <c r="N44" s="53">
        <f t="shared" si="5"/>
        <v>0</v>
      </c>
    </row>
    <row r="45" spans="1:16" x14ac:dyDescent="0.3">
      <c r="A45" s="52" t="s">
        <v>1275</v>
      </c>
      <c r="B45" s="52" t="s">
        <v>830</v>
      </c>
      <c r="C45" s="53">
        <f>'2020 2021 ADJU BUDGET SUMMARY'!J16*1%</f>
        <v>636666.2196955143</v>
      </c>
      <c r="D45" s="53"/>
      <c r="E45" s="53">
        <f t="shared" si="3"/>
        <v>636666.2196955143</v>
      </c>
      <c r="F45" s="53"/>
      <c r="G45" s="53">
        <f t="shared" si="0"/>
        <v>636666.2196955143</v>
      </c>
      <c r="H45" s="170">
        <v>157000</v>
      </c>
      <c r="I45" s="69">
        <f t="shared" si="1"/>
        <v>793666.2196955143</v>
      </c>
      <c r="J45" s="53">
        <f>C45*104.6%</f>
        <v>665952.86580150796</v>
      </c>
      <c r="K45" s="53">
        <f t="shared" ref="K45:K46" si="39">J45*104.6%</f>
        <v>696586.69762837735</v>
      </c>
      <c r="L45" s="53">
        <v>818280</v>
      </c>
      <c r="M45" s="53"/>
      <c r="N45" s="53">
        <f t="shared" si="5"/>
        <v>-24613.780304485699</v>
      </c>
    </row>
    <row r="46" spans="1:16" x14ac:dyDescent="0.3">
      <c r="A46" s="52" t="s">
        <v>1276</v>
      </c>
      <c r="B46" s="52" t="s">
        <v>831</v>
      </c>
      <c r="C46" s="53">
        <v>458886.38311278756</v>
      </c>
      <c r="D46" s="53"/>
      <c r="E46" s="53">
        <f t="shared" si="3"/>
        <v>458886.38311278756</v>
      </c>
      <c r="F46" s="53"/>
      <c r="G46" s="53">
        <f t="shared" si="0"/>
        <v>458886.38311278756</v>
      </c>
      <c r="H46" s="170"/>
      <c r="I46" s="69">
        <f t="shared" si="1"/>
        <v>458886.38311278756</v>
      </c>
      <c r="J46" s="53">
        <f>C46*104.6%</f>
        <v>479995.15673597582</v>
      </c>
      <c r="K46" s="53">
        <f t="shared" si="39"/>
        <v>502074.93394583074</v>
      </c>
      <c r="L46" s="53">
        <v>238758.2</v>
      </c>
      <c r="M46" s="53"/>
      <c r="N46" s="53">
        <f t="shared" si="5"/>
        <v>220128.18311278755</v>
      </c>
    </row>
    <row r="47" spans="1:16" ht="13.5" thickBot="1" x14ac:dyDescent="0.35">
      <c r="A47" s="52" t="s">
        <v>1318</v>
      </c>
      <c r="B47" s="52" t="s">
        <v>224</v>
      </c>
      <c r="C47" s="53">
        <v>580000</v>
      </c>
      <c r="D47" s="53"/>
      <c r="E47" s="53">
        <f t="shared" si="3"/>
        <v>580000</v>
      </c>
      <c r="F47" s="53"/>
      <c r="G47" s="53">
        <f t="shared" si="0"/>
        <v>580000</v>
      </c>
      <c r="H47" s="170"/>
      <c r="I47" s="69">
        <f t="shared" si="1"/>
        <v>580000</v>
      </c>
      <c r="J47" s="53">
        <f>C47*104.6%</f>
        <v>606680</v>
      </c>
      <c r="K47" s="53">
        <f t="shared" ref="K47" si="40">J47*104.6%</f>
        <v>634587.28</v>
      </c>
      <c r="L47" s="53">
        <v>186848</v>
      </c>
      <c r="M47" s="53"/>
      <c r="N47" s="53">
        <f t="shared" si="5"/>
        <v>393152</v>
      </c>
    </row>
    <row r="48" spans="1:16" s="77" customFormat="1" ht="13.5" thickBot="1" x14ac:dyDescent="0.35">
      <c r="A48" s="57" t="s">
        <v>678</v>
      </c>
      <c r="B48" s="57"/>
      <c r="C48" s="59">
        <f>SUM(C8:C47)</f>
        <v>4879585.0167020513</v>
      </c>
      <c r="D48" s="59">
        <f>SUM(D8:D47)</f>
        <v>100000</v>
      </c>
      <c r="E48" s="59">
        <f>SUM(E8:E47)</f>
        <v>4979585.0167020513</v>
      </c>
      <c r="F48" s="59">
        <f t="shared" ref="F48:N48" si="41">SUM(F8:F47)</f>
        <v>0</v>
      </c>
      <c r="G48" s="59">
        <f t="shared" si="41"/>
        <v>4979585.0167020513</v>
      </c>
      <c r="H48" s="171">
        <f t="shared" si="41"/>
        <v>-80000</v>
      </c>
      <c r="I48" s="59">
        <f t="shared" si="41"/>
        <v>4899585.0167020513</v>
      </c>
      <c r="J48" s="59">
        <f t="shared" si="41"/>
        <v>5104045.9274703469</v>
      </c>
      <c r="K48" s="59">
        <f t="shared" si="41"/>
        <v>5338832.0401339829</v>
      </c>
      <c r="L48" s="59">
        <f t="shared" si="41"/>
        <v>3007455.1500000004</v>
      </c>
      <c r="M48" s="59">
        <f t="shared" si="41"/>
        <v>99297.1</v>
      </c>
      <c r="N48" s="59">
        <f t="shared" si="41"/>
        <v>1792832.7667020517</v>
      </c>
      <c r="P48" s="76"/>
    </row>
    <row r="49" spans="1:16" s="77" customFormat="1" ht="13.5" thickTop="1" x14ac:dyDescent="0.3">
      <c r="A49" s="60"/>
      <c r="B49" s="60"/>
      <c r="C49" s="78"/>
      <c r="D49" s="78"/>
      <c r="E49" s="53">
        <f t="shared" si="3"/>
        <v>0</v>
      </c>
      <c r="F49" s="62"/>
      <c r="G49" s="62"/>
      <c r="H49" s="172"/>
      <c r="I49" s="62"/>
      <c r="J49" s="60"/>
      <c r="K49" s="60"/>
      <c r="L49" s="67"/>
      <c r="M49" s="67"/>
      <c r="N49" s="51"/>
      <c r="P49" s="76"/>
    </row>
    <row r="50" spans="1:16" x14ac:dyDescent="0.3">
      <c r="A50" s="51" t="s">
        <v>79</v>
      </c>
      <c r="B50" s="52"/>
      <c r="C50" s="53"/>
      <c r="D50" s="53"/>
      <c r="E50" s="53">
        <f t="shared" si="3"/>
        <v>0</v>
      </c>
      <c r="F50" s="53"/>
      <c r="G50" s="53">
        <f t="shared" ref="G50:G113" si="42">E50+F50</f>
        <v>0</v>
      </c>
      <c r="H50" s="170"/>
      <c r="I50" s="53"/>
      <c r="J50" s="52"/>
      <c r="K50" s="52"/>
      <c r="L50" s="53"/>
      <c r="M50" s="53"/>
      <c r="N50" s="52"/>
    </row>
    <row r="51" spans="1:16" x14ac:dyDescent="0.3">
      <c r="A51" s="52" t="s">
        <v>242</v>
      </c>
      <c r="B51" s="52" t="s">
        <v>243</v>
      </c>
      <c r="C51" s="53">
        <v>9212529.7087499984</v>
      </c>
      <c r="D51" s="53"/>
      <c r="E51" s="53">
        <f t="shared" si="3"/>
        <v>9212529.7087499984</v>
      </c>
      <c r="F51" s="53"/>
      <c r="G51" s="53">
        <f t="shared" si="42"/>
        <v>9212529.7087499984</v>
      </c>
      <c r="H51" s="170">
        <v>-206256.85505968519</v>
      </c>
      <c r="I51" s="69">
        <f t="shared" ref="I51:I66" si="43">G51+H51</f>
        <v>9006272.8536903132</v>
      </c>
      <c r="J51" s="53">
        <f t="shared" ref="J51:J60" si="44">C51*104.6%</f>
        <v>9636306.0753524993</v>
      </c>
      <c r="K51" s="53">
        <f t="shared" ref="K51" si="45">J51*104.6%</f>
        <v>10079576.154818716</v>
      </c>
      <c r="L51" s="53">
        <v>5041592.74</v>
      </c>
      <c r="M51" s="53"/>
      <c r="N51" s="53">
        <f t="shared" ref="N51:N66" si="46">I51-L51-M51</f>
        <v>3964680.113690313</v>
      </c>
    </row>
    <row r="52" spans="1:16" x14ac:dyDescent="0.3">
      <c r="A52" s="52" t="s">
        <v>244</v>
      </c>
      <c r="B52" s="52" t="s">
        <v>58</v>
      </c>
      <c r="C52" s="53">
        <v>757710.80906250014</v>
      </c>
      <c r="D52" s="53"/>
      <c r="E52" s="53">
        <f t="shared" si="3"/>
        <v>757710.80906250014</v>
      </c>
      <c r="F52" s="53"/>
      <c r="G52" s="53">
        <f t="shared" si="42"/>
        <v>757710.80906250014</v>
      </c>
      <c r="H52" s="170">
        <v>-84905.019062500098</v>
      </c>
      <c r="I52" s="69">
        <f t="shared" si="43"/>
        <v>672805.79</v>
      </c>
      <c r="J52" s="53">
        <f t="shared" si="44"/>
        <v>792565.50627937517</v>
      </c>
      <c r="K52" s="53">
        <f t="shared" ref="K52" si="47">J52*104.6%</f>
        <v>829023.51956822642</v>
      </c>
      <c r="L52" s="53">
        <v>672805.79</v>
      </c>
      <c r="M52" s="53"/>
      <c r="N52" s="53">
        <f t="shared" si="46"/>
        <v>0</v>
      </c>
      <c r="P52" s="64">
        <f>O52-L52</f>
        <v>-672805.79</v>
      </c>
    </row>
    <row r="53" spans="1:16" x14ac:dyDescent="0.3">
      <c r="A53" s="52" t="s">
        <v>245</v>
      </c>
      <c r="B53" s="52" t="s">
        <v>59</v>
      </c>
      <c r="C53" s="53">
        <v>4138.0800000000017</v>
      </c>
      <c r="D53" s="53"/>
      <c r="E53" s="53">
        <f t="shared" si="3"/>
        <v>4138.0800000000017</v>
      </c>
      <c r="F53" s="53"/>
      <c r="G53" s="53">
        <f t="shared" si="42"/>
        <v>4138.0800000000017</v>
      </c>
      <c r="H53" s="170">
        <v>111.84000000000015</v>
      </c>
      <c r="I53" s="69">
        <f t="shared" si="43"/>
        <v>4249.9200000000019</v>
      </c>
      <c r="J53" s="53">
        <f t="shared" si="44"/>
        <v>4328.4316800000024</v>
      </c>
      <c r="K53" s="53">
        <f t="shared" ref="K53" si="48">J53*104.6%</f>
        <v>4527.5395372800031</v>
      </c>
      <c r="L53" s="53">
        <v>2148.3000000000002</v>
      </c>
      <c r="M53" s="53"/>
      <c r="N53" s="53">
        <f t="shared" si="46"/>
        <v>2101.6200000000017</v>
      </c>
    </row>
    <row r="54" spans="1:16" x14ac:dyDescent="0.3">
      <c r="A54" s="52" t="s">
        <v>246</v>
      </c>
      <c r="B54" s="52" t="s">
        <v>247</v>
      </c>
      <c r="C54" s="53">
        <v>729972.19999999984</v>
      </c>
      <c r="D54" s="53"/>
      <c r="E54" s="53">
        <f t="shared" si="3"/>
        <v>729972.19999999984</v>
      </c>
      <c r="F54" s="53"/>
      <c r="G54" s="53">
        <f t="shared" si="42"/>
        <v>729972.19999999984</v>
      </c>
      <c r="H54" s="170">
        <v>-11237.959999999963</v>
      </c>
      <c r="I54" s="69">
        <f t="shared" si="43"/>
        <v>718734.23999999987</v>
      </c>
      <c r="J54" s="53">
        <f t="shared" si="44"/>
        <v>763550.92119999987</v>
      </c>
      <c r="K54" s="53">
        <f t="shared" ref="K54" si="49">J54*104.6%</f>
        <v>798674.26357519988</v>
      </c>
      <c r="L54" s="53">
        <v>394975.92</v>
      </c>
      <c r="M54" s="53"/>
      <c r="N54" s="53">
        <f t="shared" si="46"/>
        <v>323758.31999999989</v>
      </c>
    </row>
    <row r="55" spans="1:16" x14ac:dyDescent="0.3">
      <c r="A55" s="52" t="s">
        <v>248</v>
      </c>
      <c r="B55" s="52" t="s">
        <v>123</v>
      </c>
      <c r="C55" s="53">
        <v>1892010.5399250006</v>
      </c>
      <c r="D55" s="53"/>
      <c r="E55" s="53">
        <f t="shared" si="3"/>
        <v>1892010.5399250006</v>
      </c>
      <c r="F55" s="53"/>
      <c r="G55" s="53">
        <f t="shared" si="42"/>
        <v>1892010.5399250006</v>
      </c>
      <c r="H55" s="170">
        <v>58420.44756425661</v>
      </c>
      <c r="I55" s="69">
        <f t="shared" si="43"/>
        <v>1950430.9874892572</v>
      </c>
      <c r="J55" s="53">
        <f t="shared" si="44"/>
        <v>1979043.0247615508</v>
      </c>
      <c r="K55" s="53">
        <f t="shared" ref="K55" si="50">J55*104.6%</f>
        <v>2070079.0039005822</v>
      </c>
      <c r="L55" s="53">
        <v>1057538.22</v>
      </c>
      <c r="M55" s="53"/>
      <c r="N55" s="53">
        <f t="shared" si="46"/>
        <v>892892.76748925727</v>
      </c>
    </row>
    <row r="56" spans="1:16" x14ac:dyDescent="0.3">
      <c r="A56" s="52" t="s">
        <v>249</v>
      </c>
      <c r="B56" s="52" t="s">
        <v>61</v>
      </c>
      <c r="C56" s="53">
        <v>58126.278875000004</v>
      </c>
      <c r="D56" s="53"/>
      <c r="E56" s="53">
        <f t="shared" si="3"/>
        <v>58126.278875000004</v>
      </c>
      <c r="F56" s="53"/>
      <c r="G56" s="53">
        <f t="shared" si="42"/>
        <v>58126.278875000004</v>
      </c>
      <c r="H56" s="170">
        <v>394.34740984864766</v>
      </c>
      <c r="I56" s="69">
        <f t="shared" si="43"/>
        <v>58520.626284848651</v>
      </c>
      <c r="J56" s="53">
        <f t="shared" si="44"/>
        <v>60800.087703250007</v>
      </c>
      <c r="K56" s="53">
        <f t="shared" ref="K56" si="51">J56*104.6%</f>
        <v>63596.891737599508</v>
      </c>
      <c r="L56" s="53">
        <v>30979.759999999998</v>
      </c>
      <c r="M56" s="53"/>
      <c r="N56" s="53">
        <f t="shared" si="46"/>
        <v>27540.866284848653</v>
      </c>
    </row>
    <row r="57" spans="1:16" x14ac:dyDescent="0.3">
      <c r="A57" s="52" t="s">
        <v>596</v>
      </c>
      <c r="B57" s="52" t="s">
        <v>593</v>
      </c>
      <c r="C57" s="53">
        <v>125000</v>
      </c>
      <c r="D57" s="53"/>
      <c r="E57" s="53">
        <f t="shared" si="3"/>
        <v>125000</v>
      </c>
      <c r="F57" s="53"/>
      <c r="G57" s="53">
        <f t="shared" si="42"/>
        <v>125000</v>
      </c>
      <c r="H57" s="170">
        <v>-69000</v>
      </c>
      <c r="I57" s="69">
        <f t="shared" si="43"/>
        <v>56000</v>
      </c>
      <c r="J57" s="53">
        <f t="shared" si="44"/>
        <v>130750</v>
      </c>
      <c r="K57" s="53">
        <f t="shared" ref="K57" si="52">J57*104.6%</f>
        <v>136764.5</v>
      </c>
      <c r="L57" s="53">
        <v>0</v>
      </c>
      <c r="M57" s="53"/>
      <c r="N57" s="53">
        <f t="shared" si="46"/>
        <v>56000</v>
      </c>
    </row>
    <row r="58" spans="1:16" x14ac:dyDescent="0.3">
      <c r="A58" s="52" t="s">
        <v>250</v>
      </c>
      <c r="B58" s="52" t="s">
        <v>126</v>
      </c>
      <c r="C58" s="53">
        <v>396493.25249999994</v>
      </c>
      <c r="D58" s="53"/>
      <c r="E58" s="53">
        <f t="shared" si="3"/>
        <v>396493.25249999994</v>
      </c>
      <c r="F58" s="53"/>
      <c r="G58" s="53">
        <f t="shared" si="42"/>
        <v>396493.25249999994</v>
      </c>
      <c r="H58" s="170">
        <v>0</v>
      </c>
      <c r="I58" s="69">
        <f t="shared" si="43"/>
        <v>396493.25249999994</v>
      </c>
      <c r="J58" s="53">
        <f t="shared" si="44"/>
        <v>414731.94211499998</v>
      </c>
      <c r="K58" s="53">
        <f t="shared" ref="K58" si="53">J58*104.6%</f>
        <v>433809.61145228997</v>
      </c>
      <c r="L58" s="53">
        <v>191683.03</v>
      </c>
      <c r="M58" s="53"/>
      <c r="N58" s="53">
        <f t="shared" si="46"/>
        <v>204810.22249999995</v>
      </c>
    </row>
    <row r="59" spans="1:16" x14ac:dyDescent="0.3">
      <c r="A59" s="52" t="s">
        <v>251</v>
      </c>
      <c r="B59" s="52" t="s">
        <v>62</v>
      </c>
      <c r="C59" s="53">
        <v>74305.440000000002</v>
      </c>
      <c r="D59" s="53"/>
      <c r="E59" s="53">
        <f t="shared" si="3"/>
        <v>74305.440000000002</v>
      </c>
      <c r="F59" s="53"/>
      <c r="G59" s="53">
        <f t="shared" si="42"/>
        <v>74305.440000000002</v>
      </c>
      <c r="H59" s="170">
        <v>4085.2799999999843</v>
      </c>
      <c r="I59" s="69">
        <f t="shared" si="43"/>
        <v>78390.719999999987</v>
      </c>
      <c r="J59" s="53">
        <f t="shared" si="44"/>
        <v>77723.490239999999</v>
      </c>
      <c r="K59" s="53">
        <f t="shared" ref="K59" si="54">J59*104.6%</f>
        <v>81298.770791040006</v>
      </c>
      <c r="L59" s="53">
        <v>47260.99</v>
      </c>
      <c r="M59" s="53"/>
      <c r="N59" s="53">
        <f t="shared" si="46"/>
        <v>31129.729999999989</v>
      </c>
    </row>
    <row r="60" spans="1:16" x14ac:dyDescent="0.3">
      <c r="A60" s="52" t="s">
        <v>451</v>
      </c>
      <c r="B60" s="52" t="s">
        <v>63</v>
      </c>
      <c r="C60" s="53">
        <v>150000</v>
      </c>
      <c r="D60" s="53"/>
      <c r="E60" s="53">
        <f t="shared" si="3"/>
        <v>150000</v>
      </c>
      <c r="F60" s="53"/>
      <c r="G60" s="53">
        <f t="shared" si="42"/>
        <v>150000</v>
      </c>
      <c r="H60" s="170">
        <v>59768.850000000006</v>
      </c>
      <c r="I60" s="69">
        <f t="shared" si="43"/>
        <v>209768.85</v>
      </c>
      <c r="J60" s="53">
        <f t="shared" si="44"/>
        <v>156900</v>
      </c>
      <c r="K60" s="53">
        <f t="shared" ref="K60" si="55">J60*104.6%</f>
        <v>164117.4</v>
      </c>
      <c r="L60" s="53">
        <v>209768.85</v>
      </c>
      <c r="M60" s="53"/>
      <c r="N60" s="53">
        <f t="shared" si="46"/>
        <v>0</v>
      </c>
    </row>
    <row r="61" spans="1:16" x14ac:dyDescent="0.3">
      <c r="A61" s="52" t="s">
        <v>252</v>
      </c>
      <c r="B61" s="52" t="s">
        <v>64</v>
      </c>
      <c r="C61" s="53">
        <v>100000</v>
      </c>
      <c r="D61" s="53"/>
      <c r="E61" s="53">
        <f t="shared" si="3"/>
        <v>100000</v>
      </c>
      <c r="F61" s="53"/>
      <c r="G61" s="53">
        <f t="shared" si="42"/>
        <v>100000</v>
      </c>
      <c r="H61" s="170">
        <v>100000</v>
      </c>
      <c r="I61" s="69">
        <f t="shared" si="43"/>
        <v>200000</v>
      </c>
      <c r="J61" s="53">
        <f t="shared" ref="J61:J66" si="56">C61*104.6%</f>
        <v>104600</v>
      </c>
      <c r="K61" s="53">
        <f t="shared" ref="K61" si="57">J61*104.6%</f>
        <v>109411.6</v>
      </c>
      <c r="L61" s="53">
        <v>152180.23000000001</v>
      </c>
      <c r="M61" s="53"/>
      <c r="N61" s="53">
        <f t="shared" si="46"/>
        <v>47819.76999999999</v>
      </c>
    </row>
    <row r="62" spans="1:16" x14ac:dyDescent="0.3">
      <c r="A62" s="52" t="s">
        <v>253</v>
      </c>
      <c r="B62" s="52" t="s">
        <v>254</v>
      </c>
      <c r="C62" s="53">
        <v>558964.848</v>
      </c>
      <c r="D62" s="53"/>
      <c r="E62" s="53">
        <f t="shared" si="3"/>
        <v>558964.848</v>
      </c>
      <c r="F62" s="53"/>
      <c r="G62" s="53">
        <f t="shared" si="42"/>
        <v>558964.848</v>
      </c>
      <c r="H62" s="170">
        <v>1522.0320000000065</v>
      </c>
      <c r="I62" s="69">
        <f t="shared" si="43"/>
        <v>560486.88</v>
      </c>
      <c r="J62" s="53">
        <f t="shared" si="56"/>
        <v>584677.23100799997</v>
      </c>
      <c r="K62" s="53">
        <f t="shared" ref="K62" si="58">J62*104.6%</f>
        <v>611572.38363436796</v>
      </c>
      <c r="L62" s="53">
        <v>328041.48</v>
      </c>
      <c r="M62" s="53"/>
      <c r="N62" s="53">
        <f t="shared" si="46"/>
        <v>232445.40000000002</v>
      </c>
    </row>
    <row r="63" spans="1:16" x14ac:dyDescent="0.3">
      <c r="A63" s="52" t="s">
        <v>452</v>
      </c>
      <c r="B63" s="52" t="s">
        <v>531</v>
      </c>
      <c r="C63" s="53">
        <v>48628.800000000003</v>
      </c>
      <c r="D63" s="53"/>
      <c r="E63" s="53">
        <f t="shared" si="3"/>
        <v>48628.800000000003</v>
      </c>
      <c r="F63" s="53"/>
      <c r="G63" s="53">
        <f t="shared" si="42"/>
        <v>48628.800000000003</v>
      </c>
      <c r="H63" s="170">
        <v>2181.5999999999913</v>
      </c>
      <c r="I63" s="69">
        <f t="shared" si="43"/>
        <v>50810.399999999994</v>
      </c>
      <c r="J63" s="53">
        <f t="shared" si="56"/>
        <v>50865.724800000004</v>
      </c>
      <c r="K63" s="53">
        <f t="shared" ref="K63" si="59">J63*104.6%</f>
        <v>53205.548140800005</v>
      </c>
      <c r="L63" s="53">
        <v>28548.600000000002</v>
      </c>
      <c r="M63" s="53"/>
      <c r="N63" s="53">
        <f t="shared" si="46"/>
        <v>22261.799999999992</v>
      </c>
    </row>
    <row r="64" spans="1:16" x14ac:dyDescent="0.3">
      <c r="A64" s="52" t="s">
        <v>453</v>
      </c>
      <c r="B64" s="52" t="s">
        <v>530</v>
      </c>
      <c r="C64" s="53">
        <v>100000</v>
      </c>
      <c r="D64" s="53"/>
      <c r="E64" s="53">
        <f t="shared" si="3"/>
        <v>100000</v>
      </c>
      <c r="F64" s="53"/>
      <c r="G64" s="53">
        <f t="shared" si="42"/>
        <v>100000</v>
      </c>
      <c r="H64" s="170">
        <v>-100000</v>
      </c>
      <c r="I64" s="69">
        <f t="shared" si="43"/>
        <v>0</v>
      </c>
      <c r="J64" s="53">
        <f t="shared" si="56"/>
        <v>104600</v>
      </c>
      <c r="K64" s="53">
        <f t="shared" ref="K64" si="60">J64*104.6%</f>
        <v>109411.6</v>
      </c>
      <c r="L64" s="53">
        <v>0</v>
      </c>
      <c r="M64" s="53"/>
      <c r="N64" s="53">
        <f t="shared" si="46"/>
        <v>0</v>
      </c>
    </row>
    <row r="65" spans="1:16" x14ac:dyDescent="0.3">
      <c r="A65" s="52" t="s">
        <v>255</v>
      </c>
      <c r="B65" s="52" t="s">
        <v>256</v>
      </c>
      <c r="C65" s="53">
        <v>1784.6399999999999</v>
      </c>
      <c r="D65" s="53"/>
      <c r="E65" s="53">
        <f t="shared" si="3"/>
        <v>1784.6399999999999</v>
      </c>
      <c r="F65" s="53"/>
      <c r="G65" s="53">
        <f t="shared" si="42"/>
        <v>1784.6399999999999</v>
      </c>
      <c r="H65" s="170">
        <v>0</v>
      </c>
      <c r="I65" s="69">
        <f t="shared" si="43"/>
        <v>1784.6399999999999</v>
      </c>
      <c r="J65" s="53">
        <f t="shared" si="56"/>
        <v>1866.73344</v>
      </c>
      <c r="K65" s="53">
        <f t="shared" ref="K65" si="61">J65*104.6%</f>
        <v>1952.60317824</v>
      </c>
      <c r="L65" s="53">
        <v>1041.04</v>
      </c>
      <c r="M65" s="53"/>
      <c r="N65" s="53">
        <f t="shared" si="46"/>
        <v>743.59999999999991</v>
      </c>
    </row>
    <row r="66" spans="1:16" ht="13.5" thickBot="1" x14ac:dyDescent="0.35">
      <c r="A66" s="56" t="s">
        <v>257</v>
      </c>
      <c r="B66" s="56" t="s">
        <v>258</v>
      </c>
      <c r="C66" s="53">
        <v>195365.04</v>
      </c>
      <c r="D66" s="53"/>
      <c r="E66" s="53">
        <f t="shared" si="3"/>
        <v>195365.04</v>
      </c>
      <c r="F66" s="53"/>
      <c r="G66" s="53">
        <f t="shared" si="42"/>
        <v>195365.04</v>
      </c>
      <c r="H66" s="170">
        <v>8400.7200000000012</v>
      </c>
      <c r="I66" s="69">
        <f t="shared" si="43"/>
        <v>203765.76000000001</v>
      </c>
      <c r="J66" s="53">
        <f t="shared" si="56"/>
        <v>204351.83184000003</v>
      </c>
      <c r="K66" s="53">
        <f t="shared" ref="K66" si="62">J66*104.6%</f>
        <v>213752.01610464003</v>
      </c>
      <c r="L66" s="53">
        <v>118863.36000000002</v>
      </c>
      <c r="M66" s="53"/>
      <c r="N66" s="53">
        <f t="shared" si="46"/>
        <v>84902.399999999994</v>
      </c>
    </row>
    <row r="67" spans="1:16" s="77" customFormat="1" ht="13.5" thickBot="1" x14ac:dyDescent="0.35">
      <c r="A67" s="57" t="s">
        <v>259</v>
      </c>
      <c r="B67" s="57"/>
      <c r="C67" s="59">
        <f t="shared" ref="C67:L67" si="63">SUM(C51:C66)</f>
        <v>14405029.637112496</v>
      </c>
      <c r="D67" s="59">
        <f t="shared" si="63"/>
        <v>0</v>
      </c>
      <c r="E67" s="59">
        <f t="shared" si="63"/>
        <v>14405029.637112496</v>
      </c>
      <c r="F67" s="59">
        <f t="shared" si="63"/>
        <v>0</v>
      </c>
      <c r="G67" s="59">
        <f t="shared" si="63"/>
        <v>14405029.637112496</v>
      </c>
      <c r="H67" s="171">
        <f t="shared" si="63"/>
        <v>-236514.71714807997</v>
      </c>
      <c r="I67" s="59">
        <f t="shared" si="63"/>
        <v>14168514.919964422</v>
      </c>
      <c r="J67" s="59">
        <f t="shared" si="63"/>
        <v>15067661.000419674</v>
      </c>
      <c r="K67" s="59">
        <f t="shared" si="63"/>
        <v>15760773.406438984</v>
      </c>
      <c r="L67" s="59">
        <f t="shared" si="63"/>
        <v>8277428.3100000005</v>
      </c>
      <c r="M67" s="59"/>
      <c r="N67" s="59">
        <f>SUM(N51:N66)</f>
        <v>5891086.6099644192</v>
      </c>
      <c r="P67" s="76"/>
    </row>
    <row r="68" spans="1:16" s="77" customFormat="1" ht="13.5" thickTop="1" x14ac:dyDescent="0.3">
      <c r="A68" s="74"/>
      <c r="B68" s="74"/>
      <c r="C68" s="80"/>
      <c r="D68" s="80"/>
      <c r="E68" s="53">
        <f t="shared" si="3"/>
        <v>0</v>
      </c>
      <c r="F68" s="79"/>
      <c r="G68" s="53">
        <f t="shared" si="42"/>
        <v>0</v>
      </c>
      <c r="H68" s="174"/>
      <c r="I68" s="79"/>
      <c r="J68" s="80"/>
      <c r="K68" s="80"/>
      <c r="L68" s="67"/>
      <c r="M68" s="67"/>
      <c r="N68" s="51"/>
      <c r="P68" s="76"/>
    </row>
    <row r="69" spans="1:16" x14ac:dyDescent="0.3">
      <c r="A69" s="51" t="s">
        <v>83</v>
      </c>
      <c r="B69" s="52"/>
      <c r="C69" s="53"/>
      <c r="D69" s="53"/>
      <c r="E69" s="53">
        <f t="shared" si="3"/>
        <v>0</v>
      </c>
      <c r="F69" s="53"/>
      <c r="G69" s="53">
        <f t="shared" si="42"/>
        <v>0</v>
      </c>
      <c r="H69" s="170"/>
      <c r="I69" s="53"/>
      <c r="J69" s="53"/>
      <c r="K69" s="53"/>
      <c r="L69" s="53"/>
      <c r="M69" s="53"/>
      <c r="N69" s="52"/>
    </row>
    <row r="70" spans="1:16" ht="13.5" thickBot="1" x14ac:dyDescent="0.35">
      <c r="A70" s="52" t="s">
        <v>1200</v>
      </c>
      <c r="B70" s="166" t="s">
        <v>206</v>
      </c>
      <c r="C70" s="53">
        <v>650000</v>
      </c>
      <c r="D70" s="53"/>
      <c r="E70" s="53">
        <f t="shared" si="3"/>
        <v>650000</v>
      </c>
      <c r="F70" s="53"/>
      <c r="G70" s="53">
        <f t="shared" si="42"/>
        <v>650000</v>
      </c>
      <c r="H70" s="170">
        <f>250000+100000</f>
        <v>350000</v>
      </c>
      <c r="I70" s="69">
        <f>G70+H70</f>
        <v>1000000</v>
      </c>
      <c r="J70" s="53">
        <f>C70*104.6%</f>
        <v>679900</v>
      </c>
      <c r="K70" s="53">
        <f>J70*104.6%</f>
        <v>711175.4</v>
      </c>
      <c r="L70" s="53">
        <v>275369.82</v>
      </c>
      <c r="M70" s="53"/>
      <c r="N70" s="53">
        <f t="shared" ref="N70" si="64">I70-L70-M70</f>
        <v>724630.17999999993</v>
      </c>
    </row>
    <row r="71" spans="1:16" s="77" customFormat="1" ht="13.5" thickBot="1" x14ac:dyDescent="0.35">
      <c r="A71" s="57" t="s">
        <v>726</v>
      </c>
      <c r="B71" s="57"/>
      <c r="C71" s="59">
        <f t="shared" ref="C71:N71" si="65">SUM(C70:C70)</f>
        <v>650000</v>
      </c>
      <c r="D71" s="59">
        <f t="shared" si="65"/>
        <v>0</v>
      </c>
      <c r="E71" s="59">
        <f t="shared" si="65"/>
        <v>650000</v>
      </c>
      <c r="F71" s="59">
        <f t="shared" si="65"/>
        <v>0</v>
      </c>
      <c r="G71" s="59">
        <f t="shared" si="65"/>
        <v>650000</v>
      </c>
      <c r="H71" s="171">
        <f t="shared" si="65"/>
        <v>350000</v>
      </c>
      <c r="I71" s="59">
        <f t="shared" si="65"/>
        <v>1000000</v>
      </c>
      <c r="J71" s="59">
        <f t="shared" si="65"/>
        <v>679900</v>
      </c>
      <c r="K71" s="59">
        <f t="shared" si="65"/>
        <v>711175.4</v>
      </c>
      <c r="L71" s="59">
        <f t="shared" si="65"/>
        <v>275369.82</v>
      </c>
      <c r="M71" s="59">
        <f t="shared" si="65"/>
        <v>0</v>
      </c>
      <c r="N71" s="59">
        <f t="shared" si="65"/>
        <v>724630.17999999993</v>
      </c>
      <c r="O71" s="76"/>
      <c r="P71" s="76"/>
    </row>
    <row r="72" spans="1:16" ht="14" thickTop="1" thickBot="1" x14ac:dyDescent="0.35">
      <c r="A72" s="73"/>
      <c r="B72" s="73"/>
      <c r="C72" s="79"/>
      <c r="D72" s="79"/>
      <c r="E72" s="53">
        <f t="shared" si="3"/>
        <v>0</v>
      </c>
      <c r="F72" s="79"/>
      <c r="G72" s="53">
        <f t="shared" si="42"/>
        <v>0</v>
      </c>
      <c r="H72" s="174"/>
      <c r="I72" s="79"/>
      <c r="J72" s="73"/>
      <c r="K72" s="73"/>
      <c r="L72" s="53"/>
      <c r="M72" s="53"/>
      <c r="N72" s="52"/>
    </row>
    <row r="73" spans="1:16" ht="14" thickTop="1" thickBot="1" x14ac:dyDescent="0.35">
      <c r="A73" s="70" t="s">
        <v>727</v>
      </c>
      <c r="B73" s="81"/>
      <c r="C73" s="82">
        <f t="shared" ref="C73:N73" si="66">C71+C67+C48</f>
        <v>19934614.653814547</v>
      </c>
      <c r="D73" s="82">
        <f t="shared" si="66"/>
        <v>100000</v>
      </c>
      <c r="E73" s="82">
        <f t="shared" si="66"/>
        <v>20034614.653814547</v>
      </c>
      <c r="F73" s="82">
        <f t="shared" si="66"/>
        <v>0</v>
      </c>
      <c r="G73" s="82">
        <f t="shared" si="66"/>
        <v>20034614.653814547</v>
      </c>
      <c r="H73" s="175">
        <f t="shared" si="66"/>
        <v>33485.282851920027</v>
      </c>
      <c r="I73" s="82">
        <f t="shared" si="66"/>
        <v>20068099.936666474</v>
      </c>
      <c r="J73" s="82">
        <f t="shared" si="66"/>
        <v>20851606.927890021</v>
      </c>
      <c r="K73" s="82">
        <f t="shared" si="66"/>
        <v>21810780.846572965</v>
      </c>
      <c r="L73" s="82">
        <f t="shared" si="66"/>
        <v>11560253.280000001</v>
      </c>
      <c r="M73" s="82">
        <f t="shared" si="66"/>
        <v>99297.1</v>
      </c>
      <c r="N73" s="82">
        <f t="shared" si="66"/>
        <v>8408549.5566664711</v>
      </c>
    </row>
    <row r="74" spans="1:16" ht="13.5" thickTop="1" x14ac:dyDescent="0.3">
      <c r="A74" s="60"/>
      <c r="B74" s="60"/>
      <c r="C74" s="78"/>
      <c r="D74" s="78"/>
      <c r="E74" s="53">
        <f t="shared" ref="E74:E136" si="67">C74+D74</f>
        <v>0</v>
      </c>
      <c r="F74" s="62"/>
      <c r="G74" s="53">
        <f t="shared" si="42"/>
        <v>0</v>
      </c>
      <c r="H74" s="172"/>
      <c r="I74" s="62"/>
      <c r="J74" s="78"/>
      <c r="K74" s="78"/>
      <c r="L74" s="53"/>
      <c r="M74" s="53"/>
      <c r="N74" s="52"/>
    </row>
    <row r="75" spans="1:16" x14ac:dyDescent="0.3">
      <c r="A75" s="51" t="s">
        <v>728</v>
      </c>
      <c r="B75" s="51"/>
      <c r="C75" s="67"/>
      <c r="D75" s="67"/>
      <c r="E75" s="53">
        <f t="shared" si="67"/>
        <v>0</v>
      </c>
      <c r="F75" s="53"/>
      <c r="G75" s="53">
        <f t="shared" si="42"/>
        <v>0</v>
      </c>
      <c r="H75" s="170"/>
      <c r="I75" s="53"/>
      <c r="J75" s="67"/>
      <c r="K75" s="67"/>
      <c r="L75" s="53"/>
      <c r="M75" s="53"/>
      <c r="N75" s="52"/>
    </row>
    <row r="76" spans="1:16" x14ac:dyDescent="0.3">
      <c r="A76" s="51"/>
      <c r="B76" s="51"/>
      <c r="C76" s="67"/>
      <c r="D76" s="67"/>
      <c r="E76" s="53">
        <f t="shared" si="67"/>
        <v>0</v>
      </c>
      <c r="F76" s="53"/>
      <c r="G76" s="53">
        <f t="shared" si="42"/>
        <v>0</v>
      </c>
      <c r="H76" s="170"/>
      <c r="I76" s="53"/>
      <c r="J76" s="67"/>
      <c r="K76" s="67"/>
      <c r="L76" s="53"/>
      <c r="M76" s="53"/>
      <c r="N76" s="52"/>
    </row>
    <row r="77" spans="1:16" x14ac:dyDescent="0.3">
      <c r="A77" s="51" t="s">
        <v>460</v>
      </c>
      <c r="B77" s="51"/>
      <c r="C77" s="67"/>
      <c r="D77" s="67"/>
      <c r="E77" s="53">
        <f t="shared" si="67"/>
        <v>0</v>
      </c>
      <c r="F77" s="53"/>
      <c r="G77" s="53">
        <f t="shared" si="42"/>
        <v>0</v>
      </c>
      <c r="H77" s="170"/>
      <c r="I77" s="53"/>
      <c r="J77" s="67"/>
      <c r="K77" s="67"/>
      <c r="L77" s="53"/>
      <c r="M77" s="53"/>
      <c r="N77" s="52"/>
    </row>
    <row r="78" spans="1:16" x14ac:dyDescent="0.3">
      <c r="A78" s="51"/>
      <c r="B78" s="51"/>
      <c r="C78" s="67"/>
      <c r="D78" s="67"/>
      <c r="E78" s="53">
        <f t="shared" si="67"/>
        <v>0</v>
      </c>
      <c r="F78" s="53"/>
      <c r="G78" s="53">
        <f t="shared" si="42"/>
        <v>0</v>
      </c>
      <c r="H78" s="170"/>
      <c r="I78" s="53"/>
      <c r="J78" s="67"/>
      <c r="K78" s="67"/>
      <c r="L78" s="53"/>
      <c r="M78" s="53"/>
      <c r="N78" s="52"/>
    </row>
    <row r="79" spans="1:16" x14ac:dyDescent="0.3">
      <c r="A79" s="52" t="s">
        <v>1245</v>
      </c>
      <c r="B79" s="52" t="s">
        <v>1168</v>
      </c>
      <c r="C79" s="53">
        <v>700000</v>
      </c>
      <c r="D79" s="53"/>
      <c r="E79" s="53">
        <f t="shared" si="67"/>
        <v>700000</v>
      </c>
      <c r="F79" s="53"/>
      <c r="G79" s="53">
        <f t="shared" si="42"/>
        <v>700000</v>
      </c>
      <c r="H79" s="170">
        <v>566072.82999999996</v>
      </c>
      <c r="I79" s="69">
        <f t="shared" ref="I79:I90" si="68">G79+H79</f>
        <v>1266072.83</v>
      </c>
      <c r="J79" s="53">
        <f t="shared" ref="J79:J90" si="69">C79*104.6%</f>
        <v>732200</v>
      </c>
      <c r="K79" s="53">
        <f t="shared" ref="K79" si="70">J79*104.6%</f>
        <v>765881.20000000007</v>
      </c>
      <c r="L79" s="53">
        <v>1166072.83</v>
      </c>
      <c r="M79" s="53"/>
      <c r="N79" s="53">
        <f t="shared" ref="N79:N89" si="71">I79-L79-M79</f>
        <v>100000</v>
      </c>
    </row>
    <row r="80" spans="1:16" x14ac:dyDescent="0.3">
      <c r="A80" s="52" t="s">
        <v>1246</v>
      </c>
      <c r="B80" s="52" t="s">
        <v>238</v>
      </c>
      <c r="C80" s="53">
        <v>380000</v>
      </c>
      <c r="D80" s="53"/>
      <c r="E80" s="53">
        <f t="shared" si="67"/>
        <v>380000</v>
      </c>
      <c r="F80" s="53"/>
      <c r="G80" s="53">
        <f t="shared" si="42"/>
        <v>380000</v>
      </c>
      <c r="H80" s="170">
        <v>-200000</v>
      </c>
      <c r="I80" s="69">
        <f t="shared" si="68"/>
        <v>180000</v>
      </c>
      <c r="J80" s="53">
        <f t="shared" si="69"/>
        <v>397480</v>
      </c>
      <c r="K80" s="53">
        <f t="shared" ref="K80" si="72">J80*104.6%</f>
        <v>415764.08</v>
      </c>
      <c r="L80" s="53">
        <v>114497.99</v>
      </c>
      <c r="M80" s="53"/>
      <c r="N80" s="53">
        <f t="shared" si="71"/>
        <v>65502.009999999995</v>
      </c>
    </row>
    <row r="81" spans="1:14" x14ac:dyDescent="0.3">
      <c r="A81" s="52"/>
      <c r="B81" s="52"/>
      <c r="C81" s="53"/>
      <c r="D81" s="53"/>
      <c r="E81" s="53">
        <f t="shared" si="67"/>
        <v>0</v>
      </c>
      <c r="F81" s="53"/>
      <c r="G81" s="53">
        <f t="shared" si="42"/>
        <v>0</v>
      </c>
      <c r="H81" s="170"/>
      <c r="I81" s="69">
        <f t="shared" si="68"/>
        <v>0</v>
      </c>
      <c r="J81" s="53">
        <f t="shared" si="69"/>
        <v>0</v>
      </c>
      <c r="K81" s="53">
        <f t="shared" ref="K81" si="73">J81*104.6%</f>
        <v>0</v>
      </c>
      <c r="L81" s="53"/>
      <c r="M81" s="53"/>
      <c r="N81" s="53">
        <f t="shared" si="71"/>
        <v>0</v>
      </c>
    </row>
    <row r="82" spans="1:14" x14ac:dyDescent="0.3">
      <c r="A82" s="52"/>
      <c r="B82" s="51" t="s">
        <v>463</v>
      </c>
      <c r="C82" s="53"/>
      <c r="D82" s="53"/>
      <c r="E82" s="53">
        <f t="shared" si="67"/>
        <v>0</v>
      </c>
      <c r="F82" s="53"/>
      <c r="G82" s="53">
        <f t="shared" si="42"/>
        <v>0</v>
      </c>
      <c r="H82" s="170"/>
      <c r="I82" s="69">
        <f t="shared" si="68"/>
        <v>0</v>
      </c>
      <c r="J82" s="53">
        <f t="shared" si="69"/>
        <v>0</v>
      </c>
      <c r="K82" s="53">
        <f t="shared" ref="K82" si="74">J82*104.6%</f>
        <v>0</v>
      </c>
      <c r="L82" s="53"/>
      <c r="M82" s="53"/>
      <c r="N82" s="53">
        <f t="shared" si="71"/>
        <v>0</v>
      </c>
    </row>
    <row r="83" spans="1:14" x14ac:dyDescent="0.3">
      <c r="A83" s="52" t="s">
        <v>1249</v>
      </c>
      <c r="B83" s="52" t="s">
        <v>27</v>
      </c>
      <c r="C83" s="53">
        <v>100000</v>
      </c>
      <c r="D83" s="53"/>
      <c r="E83" s="53">
        <f t="shared" si="67"/>
        <v>100000</v>
      </c>
      <c r="F83" s="53"/>
      <c r="G83" s="53">
        <f t="shared" si="42"/>
        <v>100000</v>
      </c>
      <c r="H83" s="170">
        <v>-30000</v>
      </c>
      <c r="I83" s="69">
        <f t="shared" si="68"/>
        <v>70000</v>
      </c>
      <c r="J83" s="53">
        <f t="shared" si="69"/>
        <v>104600</v>
      </c>
      <c r="K83" s="53">
        <f t="shared" ref="K83" si="75">J83*104.6%</f>
        <v>109411.6</v>
      </c>
      <c r="L83" s="53">
        <v>32000</v>
      </c>
      <c r="M83" s="53"/>
      <c r="N83" s="53">
        <f t="shared" si="71"/>
        <v>38000</v>
      </c>
    </row>
    <row r="84" spans="1:14" x14ac:dyDescent="0.3">
      <c r="A84" s="52" t="s">
        <v>1251</v>
      </c>
      <c r="B84" s="52" t="s">
        <v>523</v>
      </c>
      <c r="C84" s="53">
        <v>650000</v>
      </c>
      <c r="D84" s="53"/>
      <c r="E84" s="53">
        <f t="shared" si="67"/>
        <v>650000</v>
      </c>
      <c r="F84" s="53"/>
      <c r="G84" s="53">
        <f t="shared" si="42"/>
        <v>650000</v>
      </c>
      <c r="H84" s="170">
        <v>-276970.64</v>
      </c>
      <c r="I84" s="69">
        <f t="shared" si="68"/>
        <v>373029.36</v>
      </c>
      <c r="J84" s="53">
        <f t="shared" si="69"/>
        <v>679900</v>
      </c>
      <c r="K84" s="53">
        <f t="shared" ref="K84" si="76">J84*104.6%</f>
        <v>711175.4</v>
      </c>
      <c r="L84" s="53">
        <v>70196.08</v>
      </c>
      <c r="M84" s="53"/>
      <c r="N84" s="53">
        <f t="shared" si="71"/>
        <v>302833.27999999997</v>
      </c>
    </row>
    <row r="85" spans="1:14" x14ac:dyDescent="0.3">
      <c r="A85" s="52" t="s">
        <v>1250</v>
      </c>
      <c r="B85" s="52" t="s">
        <v>524</v>
      </c>
      <c r="C85" s="53">
        <v>120000</v>
      </c>
      <c r="D85" s="53"/>
      <c r="E85" s="53">
        <f t="shared" si="67"/>
        <v>120000</v>
      </c>
      <c r="F85" s="53"/>
      <c r="G85" s="53">
        <f t="shared" si="42"/>
        <v>120000</v>
      </c>
      <c r="H85" s="170">
        <v>-24435</v>
      </c>
      <c r="I85" s="69">
        <f t="shared" si="68"/>
        <v>95565</v>
      </c>
      <c r="J85" s="53">
        <f t="shared" si="69"/>
        <v>125520</v>
      </c>
      <c r="K85" s="53">
        <f t="shared" ref="K85" si="77">J85*104.6%</f>
        <v>131293.92000000001</v>
      </c>
      <c r="L85" s="53">
        <v>49852.5</v>
      </c>
      <c r="M85" s="53"/>
      <c r="N85" s="53">
        <f t="shared" si="71"/>
        <v>45712.5</v>
      </c>
    </row>
    <row r="86" spans="1:14" x14ac:dyDescent="0.3">
      <c r="A86" s="52"/>
      <c r="B86" s="51" t="s">
        <v>478</v>
      </c>
      <c r="C86" s="53"/>
      <c r="D86" s="53"/>
      <c r="E86" s="53">
        <f t="shared" si="67"/>
        <v>0</v>
      </c>
      <c r="F86" s="53"/>
      <c r="G86" s="53">
        <f t="shared" si="42"/>
        <v>0</v>
      </c>
      <c r="H86" s="170"/>
      <c r="I86" s="69">
        <f t="shared" si="68"/>
        <v>0</v>
      </c>
      <c r="J86" s="53">
        <f t="shared" si="69"/>
        <v>0</v>
      </c>
      <c r="K86" s="53">
        <f t="shared" ref="K86" si="78">J86*104.6%</f>
        <v>0</v>
      </c>
      <c r="L86" s="53">
        <v>0</v>
      </c>
      <c r="M86" s="53"/>
      <c r="N86" s="53">
        <f t="shared" si="71"/>
        <v>0</v>
      </c>
    </row>
    <row r="87" spans="1:14" x14ac:dyDescent="0.3">
      <c r="A87" s="52" t="s">
        <v>1247</v>
      </c>
      <c r="B87" s="52" t="s">
        <v>241</v>
      </c>
      <c r="C87" s="53">
        <v>100000</v>
      </c>
      <c r="D87" s="53"/>
      <c r="E87" s="53">
        <f t="shared" si="67"/>
        <v>100000</v>
      </c>
      <c r="F87" s="53"/>
      <c r="G87" s="53">
        <f t="shared" si="42"/>
        <v>100000</v>
      </c>
      <c r="H87" s="170">
        <v>-50000</v>
      </c>
      <c r="I87" s="69">
        <f t="shared" si="68"/>
        <v>50000</v>
      </c>
      <c r="J87" s="53">
        <f t="shared" si="69"/>
        <v>104600</v>
      </c>
      <c r="K87" s="53">
        <f t="shared" ref="K87:K88" si="79">J87*104.6%</f>
        <v>109411.6</v>
      </c>
      <c r="L87" s="53">
        <v>10586.25</v>
      </c>
      <c r="M87" s="53">
        <v>9650</v>
      </c>
      <c r="N87" s="53">
        <f t="shared" si="71"/>
        <v>29763.75</v>
      </c>
    </row>
    <row r="88" spans="1:14" x14ac:dyDescent="0.3">
      <c r="A88" s="52" t="s">
        <v>1248</v>
      </c>
      <c r="B88" s="52" t="s">
        <v>219</v>
      </c>
      <c r="C88" s="53">
        <v>350000</v>
      </c>
      <c r="D88" s="53"/>
      <c r="E88" s="53">
        <f t="shared" si="67"/>
        <v>350000</v>
      </c>
      <c r="F88" s="53"/>
      <c r="G88" s="53">
        <f t="shared" si="42"/>
        <v>350000</v>
      </c>
      <c r="H88" s="170">
        <v>-154667.18999999994</v>
      </c>
      <c r="I88" s="69">
        <f t="shared" si="68"/>
        <v>195332.81000000006</v>
      </c>
      <c r="J88" s="53">
        <f t="shared" si="69"/>
        <v>366100</v>
      </c>
      <c r="K88" s="53">
        <f t="shared" si="79"/>
        <v>382940.60000000003</v>
      </c>
      <c r="L88" s="53">
        <v>172200</v>
      </c>
      <c r="M88" s="53"/>
      <c r="N88" s="53">
        <f t="shared" si="71"/>
        <v>23132.810000000056</v>
      </c>
    </row>
    <row r="89" spans="1:14" x14ac:dyDescent="0.3">
      <c r="A89" s="52" t="s">
        <v>1252</v>
      </c>
      <c r="B89" s="52" t="s">
        <v>1171</v>
      </c>
      <c r="C89" s="53">
        <v>100000</v>
      </c>
      <c r="D89" s="53"/>
      <c r="E89" s="53">
        <f t="shared" si="67"/>
        <v>100000</v>
      </c>
      <c r="F89" s="53"/>
      <c r="G89" s="53">
        <f t="shared" si="42"/>
        <v>100000</v>
      </c>
      <c r="H89" s="170"/>
      <c r="I89" s="69">
        <f t="shared" si="68"/>
        <v>100000</v>
      </c>
      <c r="J89" s="53">
        <f t="shared" si="69"/>
        <v>104600</v>
      </c>
      <c r="K89" s="53">
        <f t="shared" ref="K89" si="80">J89*104.6%</f>
        <v>109411.6</v>
      </c>
      <c r="L89" s="53">
        <v>57466</v>
      </c>
      <c r="M89" s="53">
        <v>25100</v>
      </c>
      <c r="N89" s="53">
        <f t="shared" si="71"/>
        <v>17434</v>
      </c>
    </row>
    <row r="90" spans="1:14" ht="13.5" thickBot="1" x14ac:dyDescent="0.35">
      <c r="A90" s="56"/>
      <c r="B90" s="56"/>
      <c r="C90" s="69"/>
      <c r="D90" s="69"/>
      <c r="E90" s="53">
        <f t="shared" si="67"/>
        <v>0</v>
      </c>
      <c r="F90" s="69"/>
      <c r="G90" s="53">
        <f t="shared" si="42"/>
        <v>0</v>
      </c>
      <c r="H90" s="173"/>
      <c r="I90" s="69">
        <f t="shared" si="68"/>
        <v>0</v>
      </c>
      <c r="J90" s="69">
        <f t="shared" si="69"/>
        <v>0</v>
      </c>
      <c r="K90" s="69">
        <f t="shared" ref="K90" si="81">J90*104.6%</f>
        <v>0</v>
      </c>
      <c r="L90" s="53"/>
      <c r="M90" s="53"/>
      <c r="N90" s="53">
        <f t="shared" ref="N90" si="82">I90-L90-M90</f>
        <v>0</v>
      </c>
    </row>
    <row r="91" spans="1:14" ht="13.5" thickBot="1" x14ac:dyDescent="0.35">
      <c r="A91" s="57" t="s">
        <v>678</v>
      </c>
      <c r="B91" s="57"/>
      <c r="C91" s="59">
        <f t="shared" ref="C91:N91" si="83">SUM(C79:C90)</f>
        <v>2500000</v>
      </c>
      <c r="D91" s="59">
        <f t="shared" si="83"/>
        <v>0</v>
      </c>
      <c r="E91" s="59">
        <f t="shared" si="83"/>
        <v>2500000</v>
      </c>
      <c r="F91" s="59">
        <f t="shared" si="83"/>
        <v>0</v>
      </c>
      <c r="G91" s="59">
        <f t="shared" si="83"/>
        <v>2500000</v>
      </c>
      <c r="H91" s="171">
        <f t="shared" si="83"/>
        <v>-170000</v>
      </c>
      <c r="I91" s="59">
        <f t="shared" si="83"/>
        <v>2330000</v>
      </c>
      <c r="J91" s="59">
        <f t="shared" si="83"/>
        <v>2615000</v>
      </c>
      <c r="K91" s="59">
        <f t="shared" si="83"/>
        <v>2735290.0000000005</v>
      </c>
      <c r="L91" s="59">
        <f t="shared" si="83"/>
        <v>1672871.6500000001</v>
      </c>
      <c r="M91" s="59">
        <f t="shared" si="83"/>
        <v>34750</v>
      </c>
      <c r="N91" s="59">
        <f t="shared" si="83"/>
        <v>622378.35000000009</v>
      </c>
    </row>
    <row r="92" spans="1:14" ht="13.5" thickTop="1" x14ac:dyDescent="0.3">
      <c r="A92" s="61"/>
      <c r="B92" s="61"/>
      <c r="C92" s="62"/>
      <c r="D92" s="62"/>
      <c r="E92" s="53">
        <f t="shared" si="67"/>
        <v>0</v>
      </c>
      <c r="F92" s="62"/>
      <c r="G92" s="53">
        <f t="shared" si="42"/>
        <v>0</v>
      </c>
      <c r="H92" s="172"/>
      <c r="I92" s="62"/>
      <c r="J92" s="62">
        <f t="shared" ref="J92:J103" si="84">C92*104.6%</f>
        <v>0</v>
      </c>
      <c r="K92" s="62">
        <f t="shared" ref="K92" si="85">J92*104.6%</f>
        <v>0</v>
      </c>
      <c r="L92" s="53"/>
      <c r="M92" s="53"/>
      <c r="N92" s="52"/>
    </row>
    <row r="93" spans="1:14" x14ac:dyDescent="0.3">
      <c r="A93" s="51" t="s">
        <v>79</v>
      </c>
      <c r="B93" s="52"/>
      <c r="C93" s="53"/>
      <c r="D93" s="53"/>
      <c r="E93" s="53">
        <f t="shared" si="67"/>
        <v>0</v>
      </c>
      <c r="F93" s="53"/>
      <c r="G93" s="53">
        <f t="shared" si="42"/>
        <v>0</v>
      </c>
      <c r="H93" s="170"/>
      <c r="I93" s="53"/>
      <c r="J93" s="53">
        <f t="shared" si="84"/>
        <v>0</v>
      </c>
      <c r="K93" s="53">
        <f t="shared" ref="K93" si="86">J93*104.6%</f>
        <v>0</v>
      </c>
      <c r="L93" s="53"/>
      <c r="M93" s="53"/>
      <c r="N93" s="52"/>
    </row>
    <row r="94" spans="1:14" x14ac:dyDescent="0.3">
      <c r="A94" s="52"/>
      <c r="B94" s="52" t="s">
        <v>185</v>
      </c>
      <c r="C94" s="53">
        <v>0</v>
      </c>
      <c r="D94" s="53"/>
      <c r="E94" s="53">
        <f t="shared" si="67"/>
        <v>0</v>
      </c>
      <c r="F94" s="53"/>
      <c r="G94" s="53">
        <f t="shared" si="42"/>
        <v>0</v>
      </c>
      <c r="H94" s="170"/>
      <c r="I94" s="69">
        <f t="shared" ref="I94:I103" si="87">G94+H94</f>
        <v>0</v>
      </c>
      <c r="J94" s="53">
        <f t="shared" si="84"/>
        <v>0</v>
      </c>
      <c r="K94" s="53">
        <f t="shared" ref="K94" si="88">J94*104.6%</f>
        <v>0</v>
      </c>
      <c r="L94" s="53"/>
      <c r="M94" s="53"/>
      <c r="N94" s="53">
        <f t="shared" ref="N94:N103" si="89">I94-L94-M94</f>
        <v>0</v>
      </c>
    </row>
    <row r="95" spans="1:14" x14ac:dyDescent="0.3">
      <c r="A95" s="52"/>
      <c r="B95" s="52" t="s">
        <v>176</v>
      </c>
      <c r="C95" s="53">
        <v>0</v>
      </c>
      <c r="D95" s="53"/>
      <c r="E95" s="53">
        <f t="shared" si="67"/>
        <v>0</v>
      </c>
      <c r="F95" s="53"/>
      <c r="G95" s="53">
        <f t="shared" si="42"/>
        <v>0</v>
      </c>
      <c r="H95" s="170"/>
      <c r="I95" s="69">
        <f t="shared" si="87"/>
        <v>0</v>
      </c>
      <c r="J95" s="53">
        <f t="shared" si="84"/>
        <v>0</v>
      </c>
      <c r="K95" s="53">
        <f t="shared" ref="K95" si="90">J95*104.6%</f>
        <v>0</v>
      </c>
      <c r="L95" s="53"/>
      <c r="M95" s="53"/>
      <c r="N95" s="53">
        <f t="shared" si="89"/>
        <v>0</v>
      </c>
    </row>
    <row r="96" spans="1:14" x14ac:dyDescent="0.3">
      <c r="A96" s="52"/>
      <c r="B96" s="52" t="s">
        <v>182</v>
      </c>
      <c r="C96" s="53">
        <v>0</v>
      </c>
      <c r="D96" s="53"/>
      <c r="E96" s="53">
        <f t="shared" si="67"/>
        <v>0</v>
      </c>
      <c r="F96" s="53"/>
      <c r="G96" s="53">
        <f t="shared" si="42"/>
        <v>0</v>
      </c>
      <c r="H96" s="170"/>
      <c r="I96" s="69">
        <f t="shared" si="87"/>
        <v>0</v>
      </c>
      <c r="J96" s="53">
        <f t="shared" si="84"/>
        <v>0</v>
      </c>
      <c r="K96" s="53">
        <f t="shared" ref="K96" si="91">J96*104.6%</f>
        <v>0</v>
      </c>
      <c r="L96" s="53"/>
      <c r="M96" s="53"/>
      <c r="N96" s="53">
        <f t="shared" si="89"/>
        <v>0</v>
      </c>
    </row>
    <row r="97" spans="1:14" x14ac:dyDescent="0.3">
      <c r="A97" s="52"/>
      <c r="B97" s="52" t="s">
        <v>59</v>
      </c>
      <c r="C97" s="53"/>
      <c r="D97" s="53"/>
      <c r="E97" s="53">
        <f t="shared" si="67"/>
        <v>0</v>
      </c>
      <c r="F97" s="53"/>
      <c r="G97" s="53">
        <f t="shared" si="42"/>
        <v>0</v>
      </c>
      <c r="H97" s="170"/>
      <c r="I97" s="69">
        <f t="shared" si="87"/>
        <v>0</v>
      </c>
      <c r="J97" s="53">
        <f t="shared" si="84"/>
        <v>0</v>
      </c>
      <c r="K97" s="53">
        <f t="shared" ref="K97" si="92">J97*104.6%</f>
        <v>0</v>
      </c>
      <c r="L97" s="53"/>
      <c r="M97" s="53"/>
      <c r="N97" s="53">
        <f t="shared" si="89"/>
        <v>0</v>
      </c>
    </row>
    <row r="98" spans="1:14" x14ac:dyDescent="0.3">
      <c r="A98" s="52"/>
      <c r="B98" s="52" t="s">
        <v>168</v>
      </c>
      <c r="C98" s="53">
        <v>0</v>
      </c>
      <c r="D98" s="53"/>
      <c r="E98" s="53">
        <f t="shared" si="67"/>
        <v>0</v>
      </c>
      <c r="F98" s="53"/>
      <c r="G98" s="53">
        <f t="shared" si="42"/>
        <v>0</v>
      </c>
      <c r="H98" s="170"/>
      <c r="I98" s="69">
        <f t="shared" si="87"/>
        <v>0</v>
      </c>
      <c r="J98" s="53">
        <f t="shared" si="84"/>
        <v>0</v>
      </c>
      <c r="K98" s="53">
        <f t="shared" ref="K98" si="93">J98*104.6%</f>
        <v>0</v>
      </c>
      <c r="L98" s="53"/>
      <c r="M98" s="53"/>
      <c r="N98" s="53">
        <f t="shared" si="89"/>
        <v>0</v>
      </c>
    </row>
    <row r="99" spans="1:14" x14ac:dyDescent="0.3">
      <c r="A99" s="52"/>
      <c r="B99" s="52" t="s">
        <v>173</v>
      </c>
      <c r="C99" s="53">
        <v>0</v>
      </c>
      <c r="D99" s="53"/>
      <c r="E99" s="53">
        <f t="shared" si="67"/>
        <v>0</v>
      </c>
      <c r="F99" s="53"/>
      <c r="G99" s="53">
        <f t="shared" si="42"/>
        <v>0</v>
      </c>
      <c r="H99" s="170"/>
      <c r="I99" s="69">
        <f t="shared" si="87"/>
        <v>0</v>
      </c>
      <c r="J99" s="53">
        <f t="shared" si="84"/>
        <v>0</v>
      </c>
      <c r="K99" s="53">
        <f t="shared" ref="K99" si="94">J99*104.6%</f>
        <v>0</v>
      </c>
      <c r="L99" s="53"/>
      <c r="M99" s="53"/>
      <c r="N99" s="53">
        <f t="shared" si="89"/>
        <v>0</v>
      </c>
    </row>
    <row r="100" spans="1:14" x14ac:dyDescent="0.3">
      <c r="A100" s="52"/>
      <c r="B100" s="52" t="s">
        <v>192</v>
      </c>
      <c r="C100" s="53">
        <v>0</v>
      </c>
      <c r="D100" s="53"/>
      <c r="E100" s="53">
        <f t="shared" si="67"/>
        <v>0</v>
      </c>
      <c r="F100" s="53"/>
      <c r="G100" s="53">
        <f t="shared" si="42"/>
        <v>0</v>
      </c>
      <c r="H100" s="170"/>
      <c r="I100" s="69">
        <f t="shared" si="87"/>
        <v>0</v>
      </c>
      <c r="J100" s="53">
        <f t="shared" si="84"/>
        <v>0</v>
      </c>
      <c r="K100" s="53">
        <f t="shared" ref="K100" si="95">J100*104.6%</f>
        <v>0</v>
      </c>
      <c r="L100" s="53"/>
      <c r="M100" s="53"/>
      <c r="N100" s="53">
        <f t="shared" si="89"/>
        <v>0</v>
      </c>
    </row>
    <row r="101" spans="1:14" x14ac:dyDescent="0.3">
      <c r="A101" s="52"/>
      <c r="B101" s="52" t="s">
        <v>57</v>
      </c>
      <c r="C101" s="53">
        <v>0</v>
      </c>
      <c r="D101" s="53"/>
      <c r="E101" s="53">
        <f t="shared" si="67"/>
        <v>0</v>
      </c>
      <c r="F101" s="53"/>
      <c r="G101" s="53">
        <f t="shared" si="42"/>
        <v>0</v>
      </c>
      <c r="H101" s="170"/>
      <c r="I101" s="69">
        <f t="shared" si="87"/>
        <v>0</v>
      </c>
      <c r="J101" s="53">
        <f t="shared" si="84"/>
        <v>0</v>
      </c>
      <c r="K101" s="53">
        <f t="shared" ref="K101" si="96">J101*104.6%</f>
        <v>0</v>
      </c>
      <c r="L101" s="53"/>
      <c r="M101" s="53"/>
      <c r="N101" s="53">
        <f t="shared" si="89"/>
        <v>0</v>
      </c>
    </row>
    <row r="102" spans="1:14" x14ac:dyDescent="0.3">
      <c r="A102" s="52"/>
      <c r="B102" s="52" t="s">
        <v>179</v>
      </c>
      <c r="C102" s="53">
        <v>0</v>
      </c>
      <c r="D102" s="53"/>
      <c r="E102" s="53">
        <f t="shared" si="67"/>
        <v>0</v>
      </c>
      <c r="F102" s="53"/>
      <c r="G102" s="53">
        <f t="shared" si="42"/>
        <v>0</v>
      </c>
      <c r="H102" s="170"/>
      <c r="I102" s="69">
        <f t="shared" si="87"/>
        <v>0</v>
      </c>
      <c r="J102" s="53">
        <f t="shared" si="84"/>
        <v>0</v>
      </c>
      <c r="K102" s="53">
        <f t="shared" ref="K102" si="97">J102*104.6%</f>
        <v>0</v>
      </c>
      <c r="L102" s="53"/>
      <c r="M102" s="53"/>
      <c r="N102" s="53">
        <f t="shared" si="89"/>
        <v>0</v>
      </c>
    </row>
    <row r="103" spans="1:14" ht="13.5" thickBot="1" x14ac:dyDescent="0.35">
      <c r="A103" s="55"/>
      <c r="B103" s="55"/>
      <c r="C103" s="69"/>
      <c r="D103" s="69"/>
      <c r="E103" s="53">
        <f t="shared" si="67"/>
        <v>0</v>
      </c>
      <c r="F103" s="69"/>
      <c r="G103" s="53">
        <f t="shared" si="42"/>
        <v>0</v>
      </c>
      <c r="H103" s="173"/>
      <c r="I103" s="69">
        <f t="shared" si="87"/>
        <v>0</v>
      </c>
      <c r="J103" s="69">
        <f t="shared" si="84"/>
        <v>0</v>
      </c>
      <c r="K103" s="69">
        <f t="shared" ref="K103" si="98">J103*104.6%</f>
        <v>0</v>
      </c>
      <c r="L103" s="53"/>
      <c r="M103" s="53"/>
      <c r="N103" s="53">
        <f t="shared" si="89"/>
        <v>0</v>
      </c>
    </row>
    <row r="104" spans="1:14" ht="13.5" thickBot="1" x14ac:dyDescent="0.35">
      <c r="A104" s="57" t="s">
        <v>203</v>
      </c>
      <c r="B104" s="57"/>
      <c r="C104" s="95">
        <f>SUM(C94:C103)</f>
        <v>0</v>
      </c>
      <c r="D104" s="95"/>
      <c r="E104" s="95">
        <f t="shared" ref="E104:G104" si="99">SUM(E94:E103)</f>
        <v>0</v>
      </c>
      <c r="F104" s="95">
        <f t="shared" si="99"/>
        <v>0</v>
      </c>
      <c r="G104" s="95">
        <f t="shared" si="99"/>
        <v>0</v>
      </c>
      <c r="H104" s="198"/>
      <c r="I104" s="95"/>
      <c r="J104" s="95">
        <f t="shared" ref="J104:N104" si="100">SUM(J94:J103)</f>
        <v>0</v>
      </c>
      <c r="K104" s="95">
        <f t="shared" si="100"/>
        <v>0</v>
      </c>
      <c r="L104" s="95">
        <f t="shared" si="100"/>
        <v>0</v>
      </c>
      <c r="M104" s="95"/>
      <c r="N104" s="95">
        <f t="shared" si="100"/>
        <v>0</v>
      </c>
    </row>
    <row r="105" spans="1:14" ht="14" thickTop="1" thickBot="1" x14ac:dyDescent="0.35">
      <c r="A105" s="111"/>
      <c r="B105" s="111"/>
      <c r="C105" s="94"/>
      <c r="D105" s="94"/>
      <c r="E105" s="53">
        <f t="shared" si="67"/>
        <v>0</v>
      </c>
      <c r="F105" s="79"/>
      <c r="G105" s="53">
        <f t="shared" si="42"/>
        <v>0</v>
      </c>
      <c r="H105" s="174"/>
      <c r="I105" s="79"/>
      <c r="J105" s="94"/>
      <c r="K105" s="94"/>
      <c r="L105" s="53"/>
      <c r="M105" s="53"/>
      <c r="N105" s="52"/>
    </row>
    <row r="106" spans="1:14" ht="13.5" thickBot="1" x14ac:dyDescent="0.35">
      <c r="A106" s="70" t="s">
        <v>730</v>
      </c>
      <c r="B106" s="70"/>
      <c r="C106" s="72">
        <f>C104+C91</f>
        <v>2500000</v>
      </c>
      <c r="D106" s="72">
        <f t="shared" ref="D106:N106" si="101">D104+D91</f>
        <v>0</v>
      </c>
      <c r="E106" s="72">
        <f t="shared" si="101"/>
        <v>2500000</v>
      </c>
      <c r="F106" s="72">
        <f t="shared" si="101"/>
        <v>0</v>
      </c>
      <c r="G106" s="72">
        <f t="shared" si="101"/>
        <v>2500000</v>
      </c>
      <c r="H106" s="177">
        <f t="shared" si="101"/>
        <v>-170000</v>
      </c>
      <c r="I106" s="72">
        <f t="shared" si="101"/>
        <v>2330000</v>
      </c>
      <c r="J106" s="72">
        <f t="shared" si="101"/>
        <v>2615000</v>
      </c>
      <c r="K106" s="72">
        <f t="shared" si="101"/>
        <v>2735290.0000000005</v>
      </c>
      <c r="L106" s="72">
        <f t="shared" si="101"/>
        <v>1672871.6500000001</v>
      </c>
      <c r="M106" s="72"/>
      <c r="N106" s="72">
        <f t="shared" si="101"/>
        <v>622378.35000000009</v>
      </c>
    </row>
    <row r="107" spans="1:14" ht="13.5" thickTop="1" x14ac:dyDescent="0.3">
      <c r="A107" s="60"/>
      <c r="B107" s="60"/>
      <c r="C107" s="62"/>
      <c r="D107" s="62"/>
      <c r="E107" s="53">
        <f t="shared" si="67"/>
        <v>0</v>
      </c>
      <c r="F107" s="62"/>
      <c r="G107" s="53">
        <f t="shared" si="42"/>
        <v>0</v>
      </c>
      <c r="H107" s="172"/>
      <c r="I107" s="62"/>
      <c r="J107" s="62"/>
      <c r="K107" s="62"/>
      <c r="L107" s="53"/>
      <c r="M107" s="53"/>
      <c r="N107" s="52"/>
    </row>
    <row r="108" spans="1:14" x14ac:dyDescent="0.3">
      <c r="A108" s="52"/>
      <c r="B108" s="52"/>
      <c r="C108" s="53"/>
      <c r="D108" s="53"/>
      <c r="E108" s="53">
        <f t="shared" si="67"/>
        <v>0</v>
      </c>
      <c r="F108" s="53"/>
      <c r="G108" s="53">
        <f t="shared" si="42"/>
        <v>0</v>
      </c>
      <c r="H108" s="170"/>
      <c r="I108" s="53"/>
      <c r="J108" s="53">
        <f t="shared" ref="J108:J134" si="102">C108*104.6%</f>
        <v>0</v>
      </c>
      <c r="K108" s="53">
        <f t="shared" ref="K108" si="103">J108*104.6%</f>
        <v>0</v>
      </c>
      <c r="L108" s="53"/>
      <c r="M108" s="53"/>
      <c r="N108" s="52"/>
    </row>
    <row r="109" spans="1:14" x14ac:dyDescent="0.3">
      <c r="A109" s="51" t="s">
        <v>729</v>
      </c>
      <c r="B109" s="52"/>
      <c r="C109" s="53"/>
      <c r="D109" s="53"/>
      <c r="E109" s="53">
        <f t="shared" si="67"/>
        <v>0</v>
      </c>
      <c r="F109" s="53"/>
      <c r="G109" s="53">
        <f t="shared" si="42"/>
        <v>0</v>
      </c>
      <c r="H109" s="170"/>
      <c r="I109" s="53"/>
      <c r="J109" s="53">
        <f t="shared" si="102"/>
        <v>0</v>
      </c>
      <c r="K109" s="53">
        <f t="shared" ref="K109" si="104">J109*104.6%</f>
        <v>0</v>
      </c>
      <c r="L109" s="53"/>
      <c r="M109" s="53"/>
      <c r="N109" s="52"/>
    </row>
    <row r="110" spans="1:14" x14ac:dyDescent="0.3">
      <c r="A110" s="52"/>
      <c r="B110" s="52"/>
      <c r="C110" s="53"/>
      <c r="D110" s="53"/>
      <c r="E110" s="53">
        <f t="shared" si="67"/>
        <v>0</v>
      </c>
      <c r="F110" s="53"/>
      <c r="G110" s="53">
        <f t="shared" si="42"/>
        <v>0</v>
      </c>
      <c r="H110" s="170"/>
      <c r="I110" s="53"/>
      <c r="J110" s="53">
        <f t="shared" si="102"/>
        <v>0</v>
      </c>
      <c r="K110" s="53">
        <f t="shared" ref="K110" si="105">J110*104.6%</f>
        <v>0</v>
      </c>
      <c r="L110" s="53"/>
      <c r="M110" s="53"/>
      <c r="N110" s="52"/>
    </row>
    <row r="111" spans="1:14" x14ac:dyDescent="0.3">
      <c r="A111" s="51" t="s">
        <v>460</v>
      </c>
      <c r="B111" s="52"/>
      <c r="C111" s="53"/>
      <c r="D111" s="53"/>
      <c r="E111" s="53">
        <f t="shared" si="67"/>
        <v>0</v>
      </c>
      <c r="F111" s="53"/>
      <c r="G111" s="53">
        <f t="shared" si="42"/>
        <v>0</v>
      </c>
      <c r="H111" s="170"/>
      <c r="I111" s="53"/>
      <c r="J111" s="53">
        <f t="shared" si="102"/>
        <v>0</v>
      </c>
      <c r="K111" s="53">
        <f t="shared" ref="K111" si="106">J111*104.6%</f>
        <v>0</v>
      </c>
      <c r="L111" s="53"/>
      <c r="M111" s="53"/>
      <c r="N111" s="52"/>
    </row>
    <row r="112" spans="1:14" x14ac:dyDescent="0.3">
      <c r="A112" s="52"/>
      <c r="B112" s="52"/>
      <c r="C112" s="53"/>
      <c r="D112" s="53"/>
      <c r="E112" s="53">
        <f t="shared" si="67"/>
        <v>0</v>
      </c>
      <c r="F112" s="53"/>
      <c r="G112" s="53">
        <f t="shared" si="42"/>
        <v>0</v>
      </c>
      <c r="H112" s="170"/>
      <c r="I112" s="53"/>
      <c r="J112" s="53">
        <f t="shared" si="102"/>
        <v>0</v>
      </c>
      <c r="K112" s="53">
        <f t="shared" ref="K112" si="107">J112*104.6%</f>
        <v>0</v>
      </c>
      <c r="L112" s="53"/>
      <c r="M112" s="53"/>
      <c r="N112" s="52"/>
    </row>
    <row r="113" spans="1:14" x14ac:dyDescent="0.3">
      <c r="A113" s="52" t="s">
        <v>210</v>
      </c>
      <c r="B113" s="52" t="s">
        <v>211</v>
      </c>
      <c r="C113" s="53">
        <v>550000</v>
      </c>
      <c r="D113" s="53"/>
      <c r="E113" s="53">
        <f t="shared" si="67"/>
        <v>550000</v>
      </c>
      <c r="F113" s="53"/>
      <c r="G113" s="53">
        <f t="shared" si="42"/>
        <v>550000</v>
      </c>
      <c r="H113" s="170">
        <v>61045</v>
      </c>
      <c r="I113" s="69">
        <f t="shared" ref="I113:I150" si="108">G113+H113</f>
        <v>611045</v>
      </c>
      <c r="J113" s="53">
        <f t="shared" si="102"/>
        <v>575300</v>
      </c>
      <c r="K113" s="53">
        <f t="shared" ref="K113" si="109">J113*104.6%</f>
        <v>601763.80000000005</v>
      </c>
      <c r="L113" s="53">
        <v>381045</v>
      </c>
      <c r="M113" s="53"/>
      <c r="N113" s="53">
        <f t="shared" ref="N113:N150" si="110">I113-L113-M113</f>
        <v>230000</v>
      </c>
    </row>
    <row r="114" spans="1:14" x14ac:dyDescent="0.3">
      <c r="A114" s="52"/>
      <c r="B114" s="52"/>
      <c r="C114" s="53"/>
      <c r="D114" s="53"/>
      <c r="E114" s="53">
        <f t="shared" si="67"/>
        <v>0</v>
      </c>
      <c r="F114" s="53"/>
      <c r="G114" s="53">
        <f t="shared" ref="G114:G179" si="111">E114+F114</f>
        <v>0</v>
      </c>
      <c r="H114" s="170"/>
      <c r="I114" s="69">
        <f t="shared" si="108"/>
        <v>0</v>
      </c>
      <c r="J114" s="53">
        <f t="shared" si="102"/>
        <v>0</v>
      </c>
      <c r="K114" s="53">
        <f t="shared" ref="K114" si="112">J114*104.6%</f>
        <v>0</v>
      </c>
      <c r="L114" s="53"/>
      <c r="M114" s="53"/>
      <c r="N114" s="53">
        <f t="shared" si="110"/>
        <v>0</v>
      </c>
    </row>
    <row r="115" spans="1:14" x14ac:dyDescent="0.3">
      <c r="A115" s="52"/>
      <c r="B115" s="51" t="s">
        <v>474</v>
      </c>
      <c r="C115" s="53"/>
      <c r="D115" s="53"/>
      <c r="E115" s="53">
        <f t="shared" si="67"/>
        <v>0</v>
      </c>
      <c r="F115" s="53"/>
      <c r="G115" s="53">
        <f t="shared" si="111"/>
        <v>0</v>
      </c>
      <c r="H115" s="170"/>
      <c r="I115" s="69">
        <f t="shared" si="108"/>
        <v>0</v>
      </c>
      <c r="J115" s="53">
        <f t="shared" si="102"/>
        <v>0</v>
      </c>
      <c r="K115" s="53">
        <f t="shared" ref="K115" si="113">J115*104.6%</f>
        <v>0</v>
      </c>
      <c r="L115" s="53"/>
      <c r="M115" s="53"/>
      <c r="N115" s="53">
        <f t="shared" si="110"/>
        <v>0</v>
      </c>
    </row>
    <row r="116" spans="1:14" x14ac:dyDescent="0.3">
      <c r="A116" s="52" t="s">
        <v>616</v>
      </c>
      <c r="B116" s="52" t="s">
        <v>493</v>
      </c>
      <c r="C116" s="53">
        <v>100000</v>
      </c>
      <c r="D116" s="53"/>
      <c r="E116" s="53">
        <f t="shared" si="67"/>
        <v>100000</v>
      </c>
      <c r="F116" s="53"/>
      <c r="G116" s="53">
        <f t="shared" si="111"/>
        <v>100000</v>
      </c>
      <c r="H116" s="170"/>
      <c r="I116" s="69">
        <f t="shared" si="108"/>
        <v>100000</v>
      </c>
      <c r="J116" s="53">
        <f t="shared" si="102"/>
        <v>104600</v>
      </c>
      <c r="K116" s="53">
        <f t="shared" ref="K116" si="114">J116*104.6%</f>
        <v>109411.6</v>
      </c>
      <c r="L116" s="53">
        <v>82260</v>
      </c>
      <c r="M116" s="53"/>
      <c r="N116" s="53">
        <f t="shared" si="110"/>
        <v>17740</v>
      </c>
    </row>
    <row r="117" spans="1:14" x14ac:dyDescent="0.3">
      <c r="A117" s="52" t="s">
        <v>616</v>
      </c>
      <c r="B117" s="52" t="s">
        <v>512</v>
      </c>
      <c r="C117" s="53">
        <v>270000</v>
      </c>
      <c r="D117" s="53"/>
      <c r="E117" s="53">
        <f t="shared" si="67"/>
        <v>270000</v>
      </c>
      <c r="F117" s="53"/>
      <c r="G117" s="53">
        <f t="shared" si="111"/>
        <v>270000</v>
      </c>
      <c r="H117" s="170">
        <v>-153000</v>
      </c>
      <c r="I117" s="69">
        <f t="shared" si="108"/>
        <v>117000</v>
      </c>
      <c r="J117" s="53">
        <f t="shared" si="102"/>
        <v>282420</v>
      </c>
      <c r="K117" s="53">
        <f t="shared" ref="K117" si="115">J117*104.6%</f>
        <v>295411.32</v>
      </c>
      <c r="L117" s="53"/>
      <c r="M117" s="53"/>
      <c r="N117" s="53">
        <f t="shared" si="110"/>
        <v>117000</v>
      </c>
    </row>
    <row r="118" spans="1:14" x14ac:dyDescent="0.3">
      <c r="A118" s="52" t="s">
        <v>616</v>
      </c>
      <c r="B118" s="52" t="s">
        <v>513</v>
      </c>
      <c r="C118" s="53">
        <v>100000</v>
      </c>
      <c r="D118" s="53"/>
      <c r="E118" s="53">
        <f t="shared" si="67"/>
        <v>100000</v>
      </c>
      <c r="F118" s="53"/>
      <c r="G118" s="53">
        <f t="shared" si="111"/>
        <v>100000</v>
      </c>
      <c r="H118" s="170">
        <f>-50000-50000</f>
        <v>-100000</v>
      </c>
      <c r="I118" s="69">
        <f t="shared" si="108"/>
        <v>0</v>
      </c>
      <c r="J118" s="53">
        <f t="shared" si="102"/>
        <v>104600</v>
      </c>
      <c r="K118" s="53">
        <f t="shared" ref="K118" si="116">J118*104.6%</f>
        <v>109411.6</v>
      </c>
      <c r="L118" s="53"/>
      <c r="M118" s="53"/>
      <c r="N118" s="53">
        <f t="shared" si="110"/>
        <v>0</v>
      </c>
    </row>
    <row r="119" spans="1:14" x14ac:dyDescent="0.3">
      <c r="A119" s="52"/>
      <c r="B119" s="52"/>
      <c r="C119" s="53"/>
      <c r="D119" s="53"/>
      <c r="E119" s="53">
        <f t="shared" si="67"/>
        <v>0</v>
      </c>
      <c r="F119" s="53"/>
      <c r="G119" s="53">
        <f t="shared" si="111"/>
        <v>0</v>
      </c>
      <c r="H119" s="170"/>
      <c r="I119" s="69">
        <f t="shared" si="108"/>
        <v>0</v>
      </c>
      <c r="J119" s="53">
        <f t="shared" si="102"/>
        <v>0</v>
      </c>
      <c r="K119" s="53">
        <f t="shared" ref="K119" si="117">J119*104.6%</f>
        <v>0</v>
      </c>
      <c r="L119" s="53"/>
      <c r="M119" s="53"/>
      <c r="N119" s="53">
        <f t="shared" si="110"/>
        <v>0</v>
      </c>
    </row>
    <row r="120" spans="1:14" x14ac:dyDescent="0.3">
      <c r="A120" s="52"/>
      <c r="B120" s="51" t="s">
        <v>494</v>
      </c>
      <c r="C120" s="53"/>
      <c r="D120" s="53"/>
      <c r="E120" s="53">
        <f t="shared" si="67"/>
        <v>0</v>
      </c>
      <c r="F120" s="53"/>
      <c r="G120" s="53">
        <f t="shared" si="111"/>
        <v>0</v>
      </c>
      <c r="H120" s="170"/>
      <c r="I120" s="69">
        <f t="shared" si="108"/>
        <v>0</v>
      </c>
      <c r="J120" s="53">
        <f t="shared" si="102"/>
        <v>0</v>
      </c>
      <c r="K120" s="53">
        <f t="shared" ref="K120" si="118">J120*104.6%</f>
        <v>0</v>
      </c>
      <c r="L120" s="53"/>
      <c r="M120" s="53"/>
      <c r="N120" s="53">
        <f t="shared" si="110"/>
        <v>0</v>
      </c>
    </row>
    <row r="121" spans="1:14" x14ac:dyDescent="0.3">
      <c r="A121" s="52" t="s">
        <v>520</v>
      </c>
      <c r="B121" s="52" t="s">
        <v>514</v>
      </c>
      <c r="C121" s="53">
        <v>200000</v>
      </c>
      <c r="D121" s="53"/>
      <c r="E121" s="53">
        <f t="shared" si="67"/>
        <v>200000</v>
      </c>
      <c r="F121" s="53"/>
      <c r="G121" s="53">
        <f t="shared" si="111"/>
        <v>200000</v>
      </c>
      <c r="H121" s="170">
        <v>-50000</v>
      </c>
      <c r="I121" s="69">
        <f t="shared" si="108"/>
        <v>150000</v>
      </c>
      <c r="J121" s="53">
        <f t="shared" si="102"/>
        <v>209200</v>
      </c>
      <c r="K121" s="53">
        <f t="shared" ref="K121" si="119">J121*104.6%</f>
        <v>218823.2</v>
      </c>
      <c r="L121" s="53">
        <v>53355.58</v>
      </c>
      <c r="M121" s="53"/>
      <c r="N121" s="53">
        <f t="shared" si="110"/>
        <v>96644.42</v>
      </c>
    </row>
    <row r="122" spans="1:14" x14ac:dyDescent="0.3">
      <c r="A122" s="52" t="s">
        <v>519</v>
      </c>
      <c r="B122" s="52" t="s">
        <v>515</v>
      </c>
      <c r="C122" s="53">
        <v>0</v>
      </c>
      <c r="D122" s="53"/>
      <c r="E122" s="53">
        <f t="shared" si="67"/>
        <v>0</v>
      </c>
      <c r="F122" s="53"/>
      <c r="G122" s="53">
        <f t="shared" si="111"/>
        <v>0</v>
      </c>
      <c r="H122" s="170"/>
      <c r="I122" s="69">
        <f t="shared" si="108"/>
        <v>0</v>
      </c>
      <c r="J122" s="53">
        <f t="shared" si="102"/>
        <v>0</v>
      </c>
      <c r="K122" s="53">
        <f t="shared" ref="K122" si="120">J122*104.6%</f>
        <v>0</v>
      </c>
      <c r="L122" s="53"/>
      <c r="M122" s="53"/>
      <c r="N122" s="53">
        <f t="shared" si="110"/>
        <v>0</v>
      </c>
    </row>
    <row r="123" spans="1:14" x14ac:dyDescent="0.3">
      <c r="A123" s="52" t="s">
        <v>518</v>
      </c>
      <c r="B123" s="52" t="s">
        <v>516</v>
      </c>
      <c r="C123" s="53">
        <v>0</v>
      </c>
      <c r="D123" s="53"/>
      <c r="E123" s="53">
        <f t="shared" si="67"/>
        <v>0</v>
      </c>
      <c r="F123" s="53"/>
      <c r="G123" s="53">
        <f t="shared" si="111"/>
        <v>0</v>
      </c>
      <c r="H123" s="170"/>
      <c r="I123" s="69">
        <f t="shared" si="108"/>
        <v>0</v>
      </c>
      <c r="J123" s="53">
        <f t="shared" si="102"/>
        <v>0</v>
      </c>
      <c r="K123" s="53">
        <f t="shared" ref="K123" si="121">J123*104.6%</f>
        <v>0</v>
      </c>
      <c r="L123" s="53"/>
      <c r="M123" s="53"/>
      <c r="N123" s="53">
        <f t="shared" si="110"/>
        <v>0</v>
      </c>
    </row>
    <row r="124" spans="1:14" x14ac:dyDescent="0.3">
      <c r="A124" s="52" t="s">
        <v>521</v>
      </c>
      <c r="B124" s="52" t="s">
        <v>517</v>
      </c>
      <c r="C124" s="53">
        <v>150000</v>
      </c>
      <c r="D124" s="53"/>
      <c r="E124" s="53">
        <f t="shared" si="67"/>
        <v>150000</v>
      </c>
      <c r="F124" s="53"/>
      <c r="G124" s="53">
        <f t="shared" si="111"/>
        <v>150000</v>
      </c>
      <c r="H124" s="170"/>
      <c r="I124" s="69">
        <f t="shared" si="108"/>
        <v>150000</v>
      </c>
      <c r="J124" s="53">
        <f t="shared" si="102"/>
        <v>156900</v>
      </c>
      <c r="K124" s="53">
        <f t="shared" ref="K124" si="122">J124*104.6%</f>
        <v>164117.4</v>
      </c>
      <c r="L124" s="53">
        <v>22020</v>
      </c>
      <c r="M124" s="53"/>
      <c r="N124" s="53">
        <f t="shared" si="110"/>
        <v>127980</v>
      </c>
    </row>
    <row r="125" spans="1:14" x14ac:dyDescent="0.3">
      <c r="A125" s="52"/>
      <c r="B125" s="52"/>
      <c r="C125" s="53"/>
      <c r="D125" s="53"/>
      <c r="E125" s="53">
        <f t="shared" si="67"/>
        <v>0</v>
      </c>
      <c r="F125" s="53"/>
      <c r="G125" s="53">
        <f t="shared" si="111"/>
        <v>0</v>
      </c>
      <c r="H125" s="170"/>
      <c r="I125" s="69">
        <f t="shared" si="108"/>
        <v>0</v>
      </c>
      <c r="J125" s="53">
        <f t="shared" si="102"/>
        <v>0</v>
      </c>
      <c r="K125" s="53">
        <f t="shared" ref="K125" si="123">J125*104.6%</f>
        <v>0</v>
      </c>
      <c r="L125" s="53"/>
      <c r="M125" s="53"/>
      <c r="N125" s="53">
        <f t="shared" si="110"/>
        <v>0</v>
      </c>
    </row>
    <row r="126" spans="1:14" x14ac:dyDescent="0.3">
      <c r="A126" s="52" t="s">
        <v>229</v>
      </c>
      <c r="B126" s="52" t="s">
        <v>230</v>
      </c>
      <c r="C126" s="53">
        <v>3600000</v>
      </c>
      <c r="D126" s="53"/>
      <c r="E126" s="53">
        <f t="shared" si="67"/>
        <v>3600000</v>
      </c>
      <c r="F126" s="53"/>
      <c r="G126" s="53">
        <f t="shared" si="111"/>
        <v>3600000</v>
      </c>
      <c r="H126" s="170">
        <v>-1100000</v>
      </c>
      <c r="I126" s="69">
        <f t="shared" si="108"/>
        <v>2500000</v>
      </c>
      <c r="J126" s="53">
        <f t="shared" si="102"/>
        <v>3765600</v>
      </c>
      <c r="K126" s="53">
        <f t="shared" ref="K126:K127" si="124">J126*104.6%</f>
        <v>3938817.6</v>
      </c>
      <c r="L126" s="53">
        <v>1285757.08</v>
      </c>
      <c r="M126" s="53"/>
      <c r="N126" s="53">
        <f t="shared" si="110"/>
        <v>1214242.92</v>
      </c>
    </row>
    <row r="127" spans="1:14" x14ac:dyDescent="0.3">
      <c r="A127" s="52" t="s">
        <v>828</v>
      </c>
      <c r="B127" s="52" t="s">
        <v>829</v>
      </c>
      <c r="C127" s="53">
        <v>50000</v>
      </c>
      <c r="D127" s="53"/>
      <c r="E127" s="53">
        <f t="shared" si="67"/>
        <v>50000</v>
      </c>
      <c r="F127" s="53"/>
      <c r="G127" s="53">
        <f t="shared" si="111"/>
        <v>50000</v>
      </c>
      <c r="H127" s="170"/>
      <c r="I127" s="69">
        <f t="shared" si="108"/>
        <v>50000</v>
      </c>
      <c r="J127" s="53">
        <f t="shared" si="102"/>
        <v>52300</v>
      </c>
      <c r="K127" s="53">
        <f t="shared" si="124"/>
        <v>54705.8</v>
      </c>
      <c r="L127" s="53">
        <v>15865.22</v>
      </c>
      <c r="M127" s="53"/>
      <c r="N127" s="53">
        <f t="shared" si="110"/>
        <v>34134.78</v>
      </c>
    </row>
    <row r="128" spans="1:14" x14ac:dyDescent="0.3">
      <c r="A128" s="52" t="s">
        <v>235</v>
      </c>
      <c r="B128" s="52" t="s">
        <v>495</v>
      </c>
      <c r="C128" s="53">
        <v>210000</v>
      </c>
      <c r="D128" s="53"/>
      <c r="E128" s="53">
        <f t="shared" si="67"/>
        <v>210000</v>
      </c>
      <c r="F128" s="53"/>
      <c r="G128" s="53">
        <f t="shared" si="111"/>
        <v>210000</v>
      </c>
      <c r="H128" s="170"/>
      <c r="I128" s="69">
        <f t="shared" si="108"/>
        <v>210000</v>
      </c>
      <c r="J128" s="53">
        <f t="shared" si="102"/>
        <v>219660</v>
      </c>
      <c r="K128" s="53">
        <f t="shared" ref="K128" si="125">J128*104.6%</f>
        <v>229764.36000000002</v>
      </c>
      <c r="L128" s="53">
        <v>49346.7</v>
      </c>
      <c r="M128" s="53"/>
      <c r="N128" s="53">
        <f t="shared" si="110"/>
        <v>160653.29999999999</v>
      </c>
    </row>
    <row r="129" spans="1:19" x14ac:dyDescent="0.3">
      <c r="A129" s="52" t="s">
        <v>231</v>
      </c>
      <c r="B129" s="52" t="s">
        <v>232</v>
      </c>
      <c r="C129" s="53">
        <v>50000</v>
      </c>
      <c r="D129" s="53"/>
      <c r="E129" s="53">
        <f t="shared" si="67"/>
        <v>50000</v>
      </c>
      <c r="F129" s="53"/>
      <c r="G129" s="53">
        <f t="shared" si="111"/>
        <v>50000</v>
      </c>
      <c r="H129" s="170">
        <v>-20000</v>
      </c>
      <c r="I129" s="69">
        <f t="shared" si="108"/>
        <v>30000</v>
      </c>
      <c r="J129" s="53">
        <f t="shared" si="102"/>
        <v>52300</v>
      </c>
      <c r="K129" s="53">
        <f t="shared" ref="K129" si="126">J129*104.6%</f>
        <v>54705.8</v>
      </c>
      <c r="L129" s="53">
        <v>2450</v>
      </c>
      <c r="M129" s="53"/>
      <c r="N129" s="53">
        <f t="shared" si="110"/>
        <v>27550</v>
      </c>
    </row>
    <row r="130" spans="1:19" x14ac:dyDescent="0.3">
      <c r="A130" s="52"/>
      <c r="B130" s="52"/>
      <c r="C130" s="53"/>
      <c r="D130" s="53"/>
      <c r="E130" s="53">
        <f t="shared" si="67"/>
        <v>0</v>
      </c>
      <c r="F130" s="53"/>
      <c r="G130" s="53">
        <f t="shared" si="111"/>
        <v>0</v>
      </c>
      <c r="H130" s="170"/>
      <c r="I130" s="69">
        <f t="shared" si="108"/>
        <v>0</v>
      </c>
      <c r="J130" s="53">
        <f t="shared" si="102"/>
        <v>0</v>
      </c>
      <c r="K130" s="53">
        <f t="shared" ref="K130" si="127">J130*104.6%</f>
        <v>0</v>
      </c>
      <c r="L130" s="53"/>
      <c r="M130" s="53"/>
      <c r="N130" s="53">
        <f t="shared" si="110"/>
        <v>0</v>
      </c>
    </row>
    <row r="131" spans="1:19" x14ac:dyDescent="0.3">
      <c r="A131" s="52"/>
      <c r="B131" s="51" t="s">
        <v>463</v>
      </c>
      <c r="C131" s="53"/>
      <c r="D131" s="53"/>
      <c r="E131" s="53">
        <f t="shared" si="67"/>
        <v>0</v>
      </c>
      <c r="F131" s="53"/>
      <c r="G131" s="53">
        <f t="shared" si="111"/>
        <v>0</v>
      </c>
      <c r="H131" s="170"/>
      <c r="I131" s="69">
        <f t="shared" si="108"/>
        <v>0</v>
      </c>
      <c r="J131" s="53">
        <f t="shared" si="102"/>
        <v>0</v>
      </c>
      <c r="K131" s="53">
        <f t="shared" ref="K131" si="128">J131*104.6%</f>
        <v>0</v>
      </c>
      <c r="L131" s="53"/>
      <c r="M131" s="53"/>
      <c r="N131" s="53">
        <f t="shared" si="110"/>
        <v>0</v>
      </c>
    </row>
    <row r="132" spans="1:19" x14ac:dyDescent="0.3">
      <c r="A132" s="52" t="s">
        <v>1151</v>
      </c>
      <c r="B132" s="52" t="s">
        <v>731</v>
      </c>
      <c r="C132" s="53">
        <v>70000</v>
      </c>
      <c r="D132" s="53"/>
      <c r="E132" s="53">
        <f t="shared" si="67"/>
        <v>70000</v>
      </c>
      <c r="F132" s="53"/>
      <c r="G132" s="53">
        <f t="shared" si="111"/>
        <v>70000</v>
      </c>
      <c r="H132" s="170">
        <v>-70000</v>
      </c>
      <c r="I132" s="69">
        <f t="shared" si="108"/>
        <v>0</v>
      </c>
      <c r="J132" s="53">
        <f t="shared" si="102"/>
        <v>73220</v>
      </c>
      <c r="K132" s="53">
        <f t="shared" ref="K132" si="129">J132*104.6%</f>
        <v>76588.12000000001</v>
      </c>
      <c r="L132" s="53"/>
      <c r="M132" s="53"/>
      <c r="N132" s="53">
        <f t="shared" si="110"/>
        <v>0</v>
      </c>
    </row>
    <row r="133" spans="1:19" x14ac:dyDescent="0.3">
      <c r="A133" s="52" t="s">
        <v>1152</v>
      </c>
      <c r="B133" s="52" t="s">
        <v>732</v>
      </c>
      <c r="C133" s="53">
        <v>50000</v>
      </c>
      <c r="D133" s="53"/>
      <c r="E133" s="53">
        <f t="shared" si="67"/>
        <v>50000</v>
      </c>
      <c r="F133" s="53"/>
      <c r="G133" s="53">
        <f t="shared" si="111"/>
        <v>50000</v>
      </c>
      <c r="H133" s="170"/>
      <c r="I133" s="69">
        <f t="shared" si="108"/>
        <v>50000</v>
      </c>
      <c r="J133" s="53">
        <f t="shared" si="102"/>
        <v>52300</v>
      </c>
      <c r="K133" s="53">
        <f t="shared" ref="K133" si="130">J133*104.6%</f>
        <v>54705.8</v>
      </c>
      <c r="L133" s="53"/>
      <c r="M133" s="53">
        <v>24643.48</v>
      </c>
      <c r="N133" s="53">
        <f t="shared" si="110"/>
        <v>25356.52</v>
      </c>
    </row>
    <row r="134" spans="1:19" x14ac:dyDescent="0.3">
      <c r="A134" s="52" t="s">
        <v>526</v>
      </c>
      <c r="B134" s="52" t="s">
        <v>522</v>
      </c>
      <c r="C134" s="53">
        <v>150000</v>
      </c>
      <c r="D134" s="53"/>
      <c r="E134" s="53">
        <f t="shared" si="67"/>
        <v>150000</v>
      </c>
      <c r="F134" s="53"/>
      <c r="G134" s="53">
        <f t="shared" si="111"/>
        <v>150000</v>
      </c>
      <c r="H134" s="170">
        <v>-100000</v>
      </c>
      <c r="I134" s="69">
        <f t="shared" si="108"/>
        <v>50000</v>
      </c>
      <c r="J134" s="53">
        <f t="shared" si="102"/>
        <v>156900</v>
      </c>
      <c r="K134" s="53">
        <f t="shared" ref="K134" si="131">J134*104.6%</f>
        <v>164117.4</v>
      </c>
      <c r="L134" s="53">
        <v>4138</v>
      </c>
      <c r="M134" s="53"/>
      <c r="N134" s="53">
        <f t="shared" si="110"/>
        <v>45862</v>
      </c>
    </row>
    <row r="135" spans="1:19" x14ac:dyDescent="0.3">
      <c r="A135" s="56"/>
      <c r="B135" s="56"/>
      <c r="C135" s="69"/>
      <c r="D135" s="69"/>
      <c r="E135" s="53">
        <f t="shared" si="67"/>
        <v>0</v>
      </c>
      <c r="F135" s="53"/>
      <c r="G135" s="53">
        <f t="shared" si="111"/>
        <v>0</v>
      </c>
      <c r="H135" s="170"/>
      <c r="I135" s="69">
        <f t="shared" si="108"/>
        <v>0</v>
      </c>
      <c r="J135" s="53"/>
      <c r="K135" s="53"/>
      <c r="L135" s="53"/>
      <c r="M135" s="53"/>
      <c r="N135" s="53">
        <f t="shared" si="110"/>
        <v>0</v>
      </c>
    </row>
    <row r="136" spans="1:19" x14ac:dyDescent="0.3">
      <c r="A136" s="56" t="s">
        <v>220</v>
      </c>
      <c r="B136" s="56" t="s">
        <v>221</v>
      </c>
      <c r="C136" s="69">
        <v>980000</v>
      </c>
      <c r="D136" s="69"/>
      <c r="E136" s="53">
        <f t="shared" si="67"/>
        <v>980000</v>
      </c>
      <c r="F136" s="53"/>
      <c r="G136" s="53">
        <f t="shared" si="111"/>
        <v>980000</v>
      </c>
      <c r="H136" s="170">
        <f>50476-101000</f>
        <v>-50524</v>
      </c>
      <c r="I136" s="69">
        <f t="shared" si="108"/>
        <v>929476</v>
      </c>
      <c r="J136" s="53">
        <f>C136*104.6%</f>
        <v>1025080</v>
      </c>
      <c r="K136" s="53">
        <f t="shared" ref="K136" si="132">J136*104.6%</f>
        <v>1072233.68</v>
      </c>
      <c r="L136" s="53">
        <v>429369.5</v>
      </c>
      <c r="M136" s="53"/>
      <c r="N136" s="53">
        <f t="shared" si="110"/>
        <v>500106.5</v>
      </c>
      <c r="Q136" s="93"/>
    </row>
    <row r="137" spans="1:19" x14ac:dyDescent="0.3">
      <c r="A137" s="56"/>
      <c r="B137" s="56"/>
      <c r="C137" s="69"/>
      <c r="D137" s="69"/>
      <c r="E137" s="53">
        <f t="shared" ref="E137:E193" si="133">C137+D137</f>
        <v>0</v>
      </c>
      <c r="F137" s="53"/>
      <c r="G137" s="53">
        <f t="shared" si="111"/>
        <v>0</v>
      </c>
      <c r="H137" s="170"/>
      <c r="I137" s="69">
        <f t="shared" si="108"/>
        <v>0</v>
      </c>
      <c r="J137" s="53">
        <f>C137*104.6%</f>
        <v>0</v>
      </c>
      <c r="K137" s="53">
        <f t="shared" ref="K137" si="134">J137*104.6%</f>
        <v>0</v>
      </c>
      <c r="L137" s="53"/>
      <c r="M137" s="53"/>
      <c r="N137" s="53">
        <f t="shared" si="110"/>
        <v>0</v>
      </c>
      <c r="P137" s="64">
        <f>6*4000</f>
        <v>24000</v>
      </c>
    </row>
    <row r="138" spans="1:19" x14ac:dyDescent="0.3">
      <c r="A138" s="56"/>
      <c r="B138" s="55" t="s">
        <v>478</v>
      </c>
      <c r="C138" s="69"/>
      <c r="D138" s="69"/>
      <c r="E138" s="53">
        <f t="shared" si="133"/>
        <v>0</v>
      </c>
      <c r="F138" s="53"/>
      <c r="G138" s="53">
        <f t="shared" si="111"/>
        <v>0</v>
      </c>
      <c r="H138" s="170"/>
      <c r="I138" s="69">
        <f t="shared" si="108"/>
        <v>0</v>
      </c>
      <c r="J138" s="53">
        <f>C138*104.6%</f>
        <v>0</v>
      </c>
      <c r="K138" s="53">
        <f t="shared" ref="K138" si="135">J138*104.6%</f>
        <v>0</v>
      </c>
      <c r="L138" s="53"/>
      <c r="M138" s="53"/>
      <c r="N138" s="53">
        <f t="shared" si="110"/>
        <v>0</v>
      </c>
    </row>
    <row r="139" spans="1:19" x14ac:dyDescent="0.3">
      <c r="A139" s="56" t="s">
        <v>218</v>
      </c>
      <c r="B139" s="56" t="s">
        <v>219</v>
      </c>
      <c r="C139" s="69">
        <v>500000</v>
      </c>
      <c r="D139" s="69"/>
      <c r="E139" s="53">
        <f t="shared" si="133"/>
        <v>500000</v>
      </c>
      <c r="F139" s="53"/>
      <c r="G139" s="53">
        <f t="shared" si="111"/>
        <v>500000</v>
      </c>
      <c r="H139" s="170">
        <f>-100000-158000</f>
        <v>-258000</v>
      </c>
      <c r="I139" s="69">
        <f t="shared" si="108"/>
        <v>242000</v>
      </c>
      <c r="J139" s="53">
        <f>C139*104.6%</f>
        <v>523000</v>
      </c>
      <c r="K139" s="53">
        <f t="shared" ref="K139" si="136">J139*104.6%</f>
        <v>547058</v>
      </c>
      <c r="L139" s="53">
        <v>113848.16</v>
      </c>
      <c r="M139" s="53">
        <v>27985</v>
      </c>
      <c r="N139" s="53">
        <f t="shared" si="110"/>
        <v>100166.84</v>
      </c>
      <c r="S139" s="93"/>
    </row>
    <row r="140" spans="1:19" x14ac:dyDescent="0.3">
      <c r="A140" s="56" t="s">
        <v>216</v>
      </c>
      <c r="B140" s="56" t="s">
        <v>217</v>
      </c>
      <c r="C140" s="69">
        <v>900000</v>
      </c>
      <c r="D140" s="69"/>
      <c r="E140" s="53">
        <f t="shared" si="133"/>
        <v>900000</v>
      </c>
      <c r="F140" s="53"/>
      <c r="G140" s="53">
        <f t="shared" si="111"/>
        <v>900000</v>
      </c>
      <c r="H140" s="170">
        <v>999310.48</v>
      </c>
      <c r="I140" s="69">
        <f t="shared" si="108"/>
        <v>1899310.48</v>
      </c>
      <c r="J140" s="53">
        <f>C140*104.6%</f>
        <v>941400</v>
      </c>
      <c r="K140" s="53">
        <f t="shared" ref="K140" si="137">J140*104.6%</f>
        <v>984704.4</v>
      </c>
      <c r="L140" s="53">
        <v>1116753.97</v>
      </c>
      <c r="M140" s="53"/>
      <c r="N140" s="53">
        <f t="shared" si="110"/>
        <v>782556.51</v>
      </c>
      <c r="P140" s="64">
        <f>430000*5</f>
        <v>2150000</v>
      </c>
      <c r="Q140" s="93"/>
    </row>
    <row r="141" spans="1:19" x14ac:dyDescent="0.3">
      <c r="A141" s="56"/>
      <c r="B141" s="56"/>
      <c r="C141" s="69"/>
      <c r="D141" s="69"/>
      <c r="E141" s="53">
        <f t="shared" si="133"/>
        <v>0</v>
      </c>
      <c r="F141" s="53"/>
      <c r="G141" s="53">
        <f t="shared" si="111"/>
        <v>0</v>
      </c>
      <c r="H141" s="170"/>
      <c r="I141" s="69">
        <f t="shared" si="108"/>
        <v>0</v>
      </c>
      <c r="J141" s="53"/>
      <c r="K141" s="53"/>
      <c r="L141" s="53"/>
      <c r="M141" s="53"/>
      <c r="N141" s="53">
        <f t="shared" si="110"/>
        <v>0</v>
      </c>
    </row>
    <row r="142" spans="1:19" ht="20.5" x14ac:dyDescent="0.45">
      <c r="A142" s="56" t="s">
        <v>1220</v>
      </c>
      <c r="B142" s="56" t="s">
        <v>1219</v>
      </c>
      <c r="C142" s="69">
        <v>5621200</v>
      </c>
      <c r="D142" s="69"/>
      <c r="E142" s="53">
        <f t="shared" si="133"/>
        <v>5621200</v>
      </c>
      <c r="F142" s="53"/>
      <c r="G142" s="53">
        <f t="shared" si="111"/>
        <v>5621200</v>
      </c>
      <c r="H142" s="170">
        <v>-518417.37000000011</v>
      </c>
      <c r="I142" s="69">
        <f t="shared" si="108"/>
        <v>5102782.63</v>
      </c>
      <c r="J142" s="53">
        <f t="shared" ref="J142:J147" si="138">C142*104.6%</f>
        <v>5879775.2000000002</v>
      </c>
      <c r="K142" s="53">
        <f t="shared" ref="K142" si="139">J142*104.6%</f>
        <v>6150244.8592000008</v>
      </c>
      <c r="L142" s="53">
        <v>2952782.63</v>
      </c>
      <c r="M142" s="53"/>
      <c r="N142" s="53">
        <f t="shared" si="110"/>
        <v>2150000</v>
      </c>
      <c r="P142" s="232">
        <f>N142/5</f>
        <v>430000</v>
      </c>
      <c r="Q142" s="93"/>
      <c r="R142" s="93">
        <f>P140-N142</f>
        <v>0</v>
      </c>
    </row>
    <row r="143" spans="1:19" x14ac:dyDescent="0.3">
      <c r="A143" s="56" t="s">
        <v>233</v>
      </c>
      <c r="B143" s="56" t="s">
        <v>234</v>
      </c>
      <c r="C143" s="69">
        <v>600000</v>
      </c>
      <c r="D143" s="69"/>
      <c r="E143" s="53">
        <f t="shared" si="133"/>
        <v>600000</v>
      </c>
      <c r="F143" s="53"/>
      <c r="G143" s="53">
        <f t="shared" si="111"/>
        <v>600000</v>
      </c>
      <c r="H143" s="170">
        <v>-60233.5</v>
      </c>
      <c r="I143" s="69">
        <f t="shared" si="108"/>
        <v>539766.5</v>
      </c>
      <c r="J143" s="53">
        <f t="shared" si="138"/>
        <v>627600</v>
      </c>
      <c r="K143" s="53">
        <f t="shared" ref="K143:K145" si="140">J143*104.6%</f>
        <v>656469.6</v>
      </c>
      <c r="L143" s="53">
        <v>259883.25</v>
      </c>
      <c r="M143" s="53"/>
      <c r="N143" s="53">
        <f t="shared" si="110"/>
        <v>279883.25</v>
      </c>
      <c r="O143" s="93"/>
    </row>
    <row r="144" spans="1:19" x14ac:dyDescent="0.3">
      <c r="A144" s="56" t="s">
        <v>1222</v>
      </c>
      <c r="B144" s="56" t="s">
        <v>1221</v>
      </c>
      <c r="C144" s="69">
        <v>1500000</v>
      </c>
      <c r="D144" s="69"/>
      <c r="E144" s="53">
        <f t="shared" si="133"/>
        <v>1500000</v>
      </c>
      <c r="F144" s="53"/>
      <c r="G144" s="53">
        <f t="shared" si="111"/>
        <v>1500000</v>
      </c>
      <c r="H144" s="170"/>
      <c r="I144" s="69">
        <f t="shared" si="108"/>
        <v>1500000</v>
      </c>
      <c r="J144" s="53">
        <f t="shared" si="138"/>
        <v>1569000</v>
      </c>
      <c r="K144" s="53">
        <f t="shared" si="140"/>
        <v>1641174</v>
      </c>
      <c r="L144" s="53">
        <v>747386.74</v>
      </c>
      <c r="M144" s="53"/>
      <c r="N144" s="53">
        <f t="shared" si="110"/>
        <v>752613.26</v>
      </c>
      <c r="R144" s="93"/>
    </row>
    <row r="145" spans="1:16" x14ac:dyDescent="0.3">
      <c r="A145" s="56" t="s">
        <v>1223</v>
      </c>
      <c r="B145" s="56" t="s">
        <v>827</v>
      </c>
      <c r="C145" s="69">
        <v>920000</v>
      </c>
      <c r="D145" s="69"/>
      <c r="E145" s="53">
        <f t="shared" si="133"/>
        <v>920000</v>
      </c>
      <c r="F145" s="53"/>
      <c r="G145" s="53">
        <f t="shared" si="111"/>
        <v>920000</v>
      </c>
      <c r="H145" s="170">
        <v>540555.65999999992</v>
      </c>
      <c r="I145" s="69">
        <f t="shared" si="108"/>
        <v>1460555.66</v>
      </c>
      <c r="J145" s="53">
        <f t="shared" si="138"/>
        <v>962320</v>
      </c>
      <c r="K145" s="53">
        <f t="shared" si="140"/>
        <v>1006586.7200000001</v>
      </c>
      <c r="L145" s="53">
        <v>730277.83</v>
      </c>
      <c r="M145" s="53"/>
      <c r="N145" s="53">
        <f t="shared" si="110"/>
        <v>730277.83</v>
      </c>
    </row>
    <row r="146" spans="1:16" x14ac:dyDescent="0.3">
      <c r="A146" s="56" t="s">
        <v>226</v>
      </c>
      <c r="B146" s="56" t="s">
        <v>227</v>
      </c>
      <c r="C146" s="69">
        <v>100000</v>
      </c>
      <c r="D146" s="69"/>
      <c r="E146" s="53">
        <f t="shared" si="133"/>
        <v>100000</v>
      </c>
      <c r="F146" s="53"/>
      <c r="G146" s="53">
        <f t="shared" si="111"/>
        <v>100000</v>
      </c>
      <c r="H146" s="170"/>
      <c r="I146" s="69">
        <f t="shared" si="108"/>
        <v>100000</v>
      </c>
      <c r="J146" s="53">
        <f t="shared" si="138"/>
        <v>104600</v>
      </c>
      <c r="K146" s="53">
        <f t="shared" ref="K146" si="141">J146*104.6%</f>
        <v>109411.6</v>
      </c>
      <c r="L146" s="53">
        <v>87330</v>
      </c>
      <c r="M146" s="53"/>
      <c r="N146" s="53">
        <f t="shared" si="110"/>
        <v>12670</v>
      </c>
    </row>
    <row r="147" spans="1:16" x14ac:dyDescent="0.3">
      <c r="A147" s="56" t="s">
        <v>1277</v>
      </c>
      <c r="B147" s="56" t="s">
        <v>228</v>
      </c>
      <c r="C147" s="69">
        <v>350000</v>
      </c>
      <c r="D147" s="69"/>
      <c r="E147" s="53">
        <f t="shared" si="133"/>
        <v>350000</v>
      </c>
      <c r="F147" s="53"/>
      <c r="G147" s="53">
        <f t="shared" si="111"/>
        <v>350000</v>
      </c>
      <c r="H147" s="170">
        <v>-100000</v>
      </c>
      <c r="I147" s="69">
        <f t="shared" si="108"/>
        <v>250000</v>
      </c>
      <c r="J147" s="53">
        <f t="shared" si="138"/>
        <v>366100</v>
      </c>
      <c r="K147" s="53">
        <f t="shared" ref="K147" si="142">J147*104.6%</f>
        <v>382940.60000000003</v>
      </c>
      <c r="L147" s="53">
        <v>71743.790000000008</v>
      </c>
      <c r="M147" s="53">
        <v>550</v>
      </c>
      <c r="N147" s="53">
        <f t="shared" si="110"/>
        <v>177706.21</v>
      </c>
    </row>
    <row r="148" spans="1:16" s="77" customFormat="1" x14ac:dyDescent="0.3">
      <c r="A148" s="55" t="s">
        <v>1339</v>
      </c>
      <c r="B148" s="55" t="s">
        <v>225</v>
      </c>
      <c r="C148" s="83"/>
      <c r="D148" s="83"/>
      <c r="E148" s="67"/>
      <c r="F148" s="83"/>
      <c r="G148" s="67"/>
      <c r="H148" s="235">
        <v>2850</v>
      </c>
      <c r="I148" s="83">
        <f t="shared" si="108"/>
        <v>2850</v>
      </c>
      <c r="J148" s="83"/>
      <c r="K148" s="83"/>
      <c r="L148" s="67">
        <v>2850</v>
      </c>
      <c r="M148" s="67"/>
      <c r="N148" s="67">
        <f t="shared" si="110"/>
        <v>0</v>
      </c>
      <c r="P148" s="76"/>
    </row>
    <row r="149" spans="1:16" x14ac:dyDescent="0.3">
      <c r="A149" s="56" t="s">
        <v>1300</v>
      </c>
      <c r="B149" s="56" t="s">
        <v>1301</v>
      </c>
      <c r="C149" s="69"/>
      <c r="D149" s="69"/>
      <c r="E149" s="53"/>
      <c r="F149" s="69">
        <v>350000</v>
      </c>
      <c r="G149" s="53">
        <f t="shared" si="111"/>
        <v>350000</v>
      </c>
      <c r="H149" s="173"/>
      <c r="I149" s="69">
        <f t="shared" si="108"/>
        <v>350000</v>
      </c>
      <c r="J149" s="69"/>
      <c r="K149" s="69"/>
      <c r="L149" s="53">
        <v>5230</v>
      </c>
      <c r="M149" s="53"/>
      <c r="N149" s="53">
        <f t="shared" si="110"/>
        <v>344770</v>
      </c>
    </row>
    <row r="150" spans="1:16" ht="13.5" thickBot="1" x14ac:dyDescent="0.35">
      <c r="A150" s="56" t="s">
        <v>1302</v>
      </c>
      <c r="B150" s="56" t="s">
        <v>1303</v>
      </c>
      <c r="C150" s="69"/>
      <c r="D150" s="69"/>
      <c r="E150" s="53"/>
      <c r="F150" s="69">
        <v>500000</v>
      </c>
      <c r="G150" s="53">
        <f t="shared" si="111"/>
        <v>500000</v>
      </c>
      <c r="H150" s="173"/>
      <c r="I150" s="69">
        <f t="shared" si="108"/>
        <v>500000</v>
      </c>
      <c r="J150" s="69"/>
      <c r="K150" s="69"/>
      <c r="L150" s="53">
        <v>29800</v>
      </c>
      <c r="M150" s="53"/>
      <c r="N150" s="53">
        <f t="shared" si="110"/>
        <v>470200</v>
      </c>
    </row>
    <row r="151" spans="1:16" ht="13.5" thickBot="1" x14ac:dyDescent="0.35">
      <c r="A151" s="57" t="s">
        <v>678</v>
      </c>
      <c r="B151" s="57"/>
      <c r="C151" s="59">
        <f t="shared" ref="C151:N151" si="143">SUM(C113:C150)</f>
        <v>17021200</v>
      </c>
      <c r="D151" s="59">
        <f t="shared" si="143"/>
        <v>0</v>
      </c>
      <c r="E151" s="59">
        <f t="shared" si="143"/>
        <v>17021200</v>
      </c>
      <c r="F151" s="59">
        <f t="shared" si="143"/>
        <v>850000</v>
      </c>
      <c r="G151" s="59">
        <f t="shared" si="143"/>
        <v>17871200</v>
      </c>
      <c r="H151" s="171">
        <f t="shared" si="143"/>
        <v>-976413.73000000021</v>
      </c>
      <c r="I151" s="59">
        <f t="shared" si="143"/>
        <v>16894786.27</v>
      </c>
      <c r="J151" s="59">
        <f t="shared" si="143"/>
        <v>17804175.199999999</v>
      </c>
      <c r="K151" s="59">
        <f t="shared" si="143"/>
        <v>18623167.259199999</v>
      </c>
      <c r="L151" s="59">
        <f t="shared" si="143"/>
        <v>8443493.4499999993</v>
      </c>
      <c r="M151" s="59">
        <f t="shared" si="143"/>
        <v>53178.479999999996</v>
      </c>
      <c r="N151" s="59">
        <f t="shared" si="143"/>
        <v>8398114.3399999999</v>
      </c>
    </row>
    <row r="152" spans="1:16" ht="13.5" thickTop="1" x14ac:dyDescent="0.3">
      <c r="A152" s="112"/>
      <c r="B152" s="112"/>
      <c r="C152" s="101"/>
      <c r="D152" s="62"/>
      <c r="E152" s="53">
        <f t="shared" si="133"/>
        <v>0</v>
      </c>
      <c r="F152" s="62"/>
      <c r="G152" s="53">
        <f t="shared" si="111"/>
        <v>0</v>
      </c>
      <c r="H152" s="172"/>
      <c r="I152" s="62"/>
      <c r="J152" s="62"/>
      <c r="K152" s="62"/>
      <c r="L152" s="53"/>
      <c r="M152" s="53"/>
      <c r="N152" s="52"/>
    </row>
    <row r="153" spans="1:16" x14ac:dyDescent="0.3">
      <c r="A153" s="51" t="s">
        <v>79</v>
      </c>
      <c r="B153" s="52"/>
      <c r="C153" s="53"/>
      <c r="D153" s="62"/>
      <c r="E153" s="53">
        <f t="shared" si="133"/>
        <v>0</v>
      </c>
      <c r="F153" s="62"/>
      <c r="G153" s="53">
        <f t="shared" si="111"/>
        <v>0</v>
      </c>
      <c r="H153" s="172"/>
      <c r="I153" s="62"/>
      <c r="J153" s="62"/>
      <c r="K153" s="62"/>
      <c r="L153" s="53"/>
      <c r="M153" s="53"/>
      <c r="N153" s="52"/>
    </row>
    <row r="154" spans="1:16" x14ac:dyDescent="0.3">
      <c r="A154" s="52"/>
      <c r="B154" s="52" t="s">
        <v>185</v>
      </c>
      <c r="C154" s="53">
        <v>0</v>
      </c>
      <c r="D154" s="62"/>
      <c r="E154" s="53">
        <f t="shared" si="133"/>
        <v>0</v>
      </c>
      <c r="F154" s="62"/>
      <c r="G154" s="53">
        <f t="shared" si="111"/>
        <v>0</v>
      </c>
      <c r="H154" s="172"/>
      <c r="I154" s="69">
        <f t="shared" ref="I154:I163" si="144">G154+H154</f>
        <v>0</v>
      </c>
      <c r="J154" s="62"/>
      <c r="K154" s="62"/>
      <c r="L154" s="53"/>
      <c r="M154" s="53"/>
      <c r="N154" s="53">
        <f t="shared" ref="N154:N163" si="145">I154-L154-M154</f>
        <v>0</v>
      </c>
    </row>
    <row r="155" spans="1:16" x14ac:dyDescent="0.3">
      <c r="A155" s="52"/>
      <c r="B155" s="52" t="s">
        <v>176</v>
      </c>
      <c r="C155" s="53">
        <v>0</v>
      </c>
      <c r="D155" s="62"/>
      <c r="E155" s="53">
        <f t="shared" si="133"/>
        <v>0</v>
      </c>
      <c r="F155" s="62"/>
      <c r="G155" s="53">
        <f t="shared" si="111"/>
        <v>0</v>
      </c>
      <c r="H155" s="172"/>
      <c r="I155" s="69">
        <f t="shared" si="144"/>
        <v>0</v>
      </c>
      <c r="J155" s="62"/>
      <c r="K155" s="62"/>
      <c r="L155" s="53"/>
      <c r="M155" s="53"/>
      <c r="N155" s="53">
        <f t="shared" si="145"/>
        <v>0</v>
      </c>
    </row>
    <row r="156" spans="1:16" x14ac:dyDescent="0.3">
      <c r="A156" s="52"/>
      <c r="B156" s="52" t="s">
        <v>182</v>
      </c>
      <c r="C156" s="53">
        <v>0</v>
      </c>
      <c r="D156" s="62"/>
      <c r="E156" s="53">
        <f t="shared" si="133"/>
        <v>0</v>
      </c>
      <c r="F156" s="62"/>
      <c r="G156" s="53">
        <f t="shared" si="111"/>
        <v>0</v>
      </c>
      <c r="H156" s="172"/>
      <c r="I156" s="69">
        <f t="shared" si="144"/>
        <v>0</v>
      </c>
      <c r="J156" s="62"/>
      <c r="K156" s="62"/>
      <c r="L156" s="53"/>
      <c r="M156" s="53"/>
      <c r="N156" s="53">
        <f t="shared" si="145"/>
        <v>0</v>
      </c>
    </row>
    <row r="157" spans="1:16" x14ac:dyDescent="0.3">
      <c r="A157" s="52"/>
      <c r="B157" s="52" t="s">
        <v>59</v>
      </c>
      <c r="C157" s="53">
        <v>0</v>
      </c>
      <c r="D157" s="62"/>
      <c r="E157" s="53">
        <f t="shared" si="133"/>
        <v>0</v>
      </c>
      <c r="F157" s="62"/>
      <c r="G157" s="53">
        <f t="shared" si="111"/>
        <v>0</v>
      </c>
      <c r="H157" s="172"/>
      <c r="I157" s="69">
        <f t="shared" si="144"/>
        <v>0</v>
      </c>
      <c r="J157" s="62"/>
      <c r="K157" s="62"/>
      <c r="L157" s="53"/>
      <c r="M157" s="53"/>
      <c r="N157" s="53">
        <f t="shared" si="145"/>
        <v>0</v>
      </c>
    </row>
    <row r="158" spans="1:16" x14ac:dyDescent="0.3">
      <c r="A158" s="52"/>
      <c r="B158" s="52" t="s">
        <v>168</v>
      </c>
      <c r="C158" s="53">
        <v>0</v>
      </c>
      <c r="D158" s="62"/>
      <c r="E158" s="53">
        <f t="shared" si="133"/>
        <v>0</v>
      </c>
      <c r="F158" s="62"/>
      <c r="G158" s="53">
        <f t="shared" si="111"/>
        <v>0</v>
      </c>
      <c r="H158" s="172"/>
      <c r="I158" s="69">
        <f t="shared" si="144"/>
        <v>0</v>
      </c>
      <c r="J158" s="62"/>
      <c r="K158" s="62"/>
      <c r="L158" s="53"/>
      <c r="M158" s="53"/>
      <c r="N158" s="53">
        <f t="shared" si="145"/>
        <v>0</v>
      </c>
    </row>
    <row r="159" spans="1:16" x14ac:dyDescent="0.3">
      <c r="A159" s="52"/>
      <c r="B159" s="52" t="s">
        <v>173</v>
      </c>
      <c r="C159" s="53">
        <v>0</v>
      </c>
      <c r="D159" s="62"/>
      <c r="E159" s="53">
        <f t="shared" si="133"/>
        <v>0</v>
      </c>
      <c r="F159" s="62"/>
      <c r="G159" s="53">
        <f t="shared" si="111"/>
        <v>0</v>
      </c>
      <c r="H159" s="172"/>
      <c r="I159" s="69">
        <f t="shared" si="144"/>
        <v>0</v>
      </c>
      <c r="J159" s="62"/>
      <c r="K159" s="62"/>
      <c r="L159" s="53"/>
      <c r="M159" s="53"/>
      <c r="N159" s="53">
        <f t="shared" si="145"/>
        <v>0</v>
      </c>
    </row>
    <row r="160" spans="1:16" x14ac:dyDescent="0.3">
      <c r="A160" s="52"/>
      <c r="B160" s="52" t="s">
        <v>192</v>
      </c>
      <c r="C160" s="53">
        <v>0</v>
      </c>
      <c r="D160" s="62"/>
      <c r="E160" s="53">
        <f t="shared" si="133"/>
        <v>0</v>
      </c>
      <c r="F160" s="62"/>
      <c r="G160" s="53">
        <f t="shared" si="111"/>
        <v>0</v>
      </c>
      <c r="H160" s="172"/>
      <c r="I160" s="69">
        <f t="shared" si="144"/>
        <v>0</v>
      </c>
      <c r="J160" s="62"/>
      <c r="K160" s="62"/>
      <c r="L160" s="53"/>
      <c r="M160" s="53"/>
      <c r="N160" s="53">
        <f t="shared" si="145"/>
        <v>0</v>
      </c>
    </row>
    <row r="161" spans="1:17" x14ac:dyDescent="0.3">
      <c r="A161" s="52"/>
      <c r="B161" s="52" t="s">
        <v>57</v>
      </c>
      <c r="C161" s="53">
        <v>0</v>
      </c>
      <c r="D161" s="62"/>
      <c r="E161" s="53">
        <f t="shared" si="133"/>
        <v>0</v>
      </c>
      <c r="F161" s="62"/>
      <c r="G161" s="53">
        <f t="shared" si="111"/>
        <v>0</v>
      </c>
      <c r="H161" s="172"/>
      <c r="I161" s="69">
        <f t="shared" si="144"/>
        <v>0</v>
      </c>
      <c r="J161" s="62"/>
      <c r="K161" s="62"/>
      <c r="L161" s="53"/>
      <c r="M161" s="53"/>
      <c r="N161" s="53">
        <f t="shared" si="145"/>
        <v>0</v>
      </c>
    </row>
    <row r="162" spans="1:17" x14ac:dyDescent="0.3">
      <c r="A162" s="52"/>
      <c r="B162" s="52" t="s">
        <v>179</v>
      </c>
      <c r="C162" s="53">
        <v>0</v>
      </c>
      <c r="D162" s="62"/>
      <c r="E162" s="53">
        <f t="shared" si="133"/>
        <v>0</v>
      </c>
      <c r="F162" s="62"/>
      <c r="G162" s="53">
        <f t="shared" si="111"/>
        <v>0</v>
      </c>
      <c r="H162" s="172"/>
      <c r="I162" s="69">
        <f t="shared" si="144"/>
        <v>0</v>
      </c>
      <c r="J162" s="62"/>
      <c r="K162" s="62"/>
      <c r="L162" s="53"/>
      <c r="M162" s="53"/>
      <c r="N162" s="53">
        <f t="shared" si="145"/>
        <v>0</v>
      </c>
    </row>
    <row r="163" spans="1:17" ht="13.5" thickBot="1" x14ac:dyDescent="0.35">
      <c r="A163" s="55"/>
      <c r="B163" s="55"/>
      <c r="C163" s="69"/>
      <c r="D163" s="79"/>
      <c r="E163" s="53">
        <f t="shared" si="133"/>
        <v>0</v>
      </c>
      <c r="F163" s="79"/>
      <c r="G163" s="53">
        <f t="shared" si="111"/>
        <v>0</v>
      </c>
      <c r="H163" s="174"/>
      <c r="I163" s="69">
        <f t="shared" si="144"/>
        <v>0</v>
      </c>
      <c r="J163" s="79"/>
      <c r="K163" s="79"/>
      <c r="L163" s="53"/>
      <c r="M163" s="53"/>
      <c r="N163" s="53">
        <f t="shared" si="145"/>
        <v>0</v>
      </c>
    </row>
    <row r="164" spans="1:17" ht="13.5" thickBot="1" x14ac:dyDescent="0.35">
      <c r="A164" s="57" t="s">
        <v>203</v>
      </c>
      <c r="B164" s="57"/>
      <c r="C164" s="59">
        <f>SUM(C154:C163)</f>
        <v>0</v>
      </c>
      <c r="D164" s="59"/>
      <c r="E164" s="59">
        <f t="shared" ref="E164:N164" si="146">SUM(E154:E163)</f>
        <v>0</v>
      </c>
      <c r="F164" s="59">
        <f t="shared" si="146"/>
        <v>0</v>
      </c>
      <c r="G164" s="59">
        <f t="shared" si="146"/>
        <v>0</v>
      </c>
      <c r="H164" s="171">
        <f t="shared" si="146"/>
        <v>0</v>
      </c>
      <c r="I164" s="59">
        <f t="shared" si="146"/>
        <v>0</v>
      </c>
      <c r="J164" s="59">
        <f t="shared" ref="J164" si="147">SUM(J154:J163)</f>
        <v>0</v>
      </c>
      <c r="K164" s="59">
        <f t="shared" si="146"/>
        <v>0</v>
      </c>
      <c r="L164" s="59">
        <f t="shared" si="146"/>
        <v>0</v>
      </c>
      <c r="M164" s="59">
        <f t="shared" si="146"/>
        <v>0</v>
      </c>
      <c r="N164" s="59">
        <f t="shared" si="146"/>
        <v>0</v>
      </c>
    </row>
    <row r="165" spans="1:17" ht="14" thickTop="1" thickBot="1" x14ac:dyDescent="0.35">
      <c r="A165" s="73"/>
      <c r="B165" s="73"/>
      <c r="C165" s="79"/>
      <c r="D165" s="79"/>
      <c r="E165" s="53">
        <f t="shared" si="133"/>
        <v>0</v>
      </c>
      <c r="F165" s="79"/>
      <c r="G165" s="53">
        <f t="shared" si="111"/>
        <v>0</v>
      </c>
      <c r="H165" s="174"/>
      <c r="I165" s="79"/>
      <c r="J165" s="79"/>
      <c r="K165" s="79"/>
      <c r="L165" s="53"/>
      <c r="M165" s="53"/>
      <c r="N165" s="52"/>
    </row>
    <row r="166" spans="1:17" ht="13.5" thickBot="1" x14ac:dyDescent="0.35">
      <c r="A166" s="70" t="s">
        <v>733</v>
      </c>
      <c r="B166" s="70"/>
      <c r="C166" s="72">
        <f>C164+C151</f>
        <v>17021200</v>
      </c>
      <c r="D166" s="72">
        <f t="shared" ref="D166:N166" si="148">D164+D151</f>
        <v>0</v>
      </c>
      <c r="E166" s="72">
        <f t="shared" si="148"/>
        <v>17021200</v>
      </c>
      <c r="F166" s="72">
        <f t="shared" si="148"/>
        <v>850000</v>
      </c>
      <c r="G166" s="72">
        <f t="shared" si="148"/>
        <v>17871200</v>
      </c>
      <c r="H166" s="177">
        <f t="shared" si="148"/>
        <v>-976413.73000000021</v>
      </c>
      <c r="I166" s="72">
        <f t="shared" si="148"/>
        <v>16894786.27</v>
      </c>
      <c r="J166" s="72">
        <f t="shared" si="148"/>
        <v>17804175.199999999</v>
      </c>
      <c r="K166" s="72">
        <f t="shared" si="148"/>
        <v>18623167.259199999</v>
      </c>
      <c r="L166" s="72">
        <f t="shared" si="148"/>
        <v>8443493.4499999993</v>
      </c>
      <c r="M166" s="72">
        <f t="shared" si="148"/>
        <v>53178.479999999996</v>
      </c>
      <c r="N166" s="72">
        <f t="shared" si="148"/>
        <v>8398114.3399999999</v>
      </c>
    </row>
    <row r="167" spans="1:17" ht="13.5" thickTop="1" x14ac:dyDescent="0.3">
      <c r="A167" s="73"/>
      <c r="B167" s="73"/>
      <c r="C167" s="79"/>
      <c r="D167" s="79"/>
      <c r="E167" s="53">
        <f t="shared" si="133"/>
        <v>0</v>
      </c>
      <c r="F167" s="62"/>
      <c r="G167" s="53">
        <f t="shared" si="111"/>
        <v>0</v>
      </c>
      <c r="H167" s="172"/>
      <c r="I167" s="62"/>
      <c r="J167" s="62"/>
      <c r="K167" s="62"/>
      <c r="L167" s="53"/>
      <c r="M167" s="53"/>
      <c r="N167" s="52"/>
    </row>
    <row r="168" spans="1:17" x14ac:dyDescent="0.3">
      <c r="A168" s="55" t="s">
        <v>734</v>
      </c>
      <c r="B168" s="56"/>
      <c r="C168" s="69"/>
      <c r="D168" s="69"/>
      <c r="E168" s="53">
        <f t="shared" si="133"/>
        <v>0</v>
      </c>
      <c r="F168" s="53"/>
      <c r="G168" s="53">
        <f t="shared" si="111"/>
        <v>0</v>
      </c>
      <c r="H168" s="170"/>
      <c r="I168" s="53"/>
      <c r="J168" s="53"/>
      <c r="K168" s="53"/>
      <c r="L168" s="53"/>
      <c r="M168" s="53"/>
      <c r="N168" s="52"/>
    </row>
    <row r="169" spans="1:17" x14ac:dyDescent="0.3">
      <c r="A169" s="56"/>
      <c r="B169" s="56"/>
      <c r="C169" s="69"/>
      <c r="D169" s="69"/>
      <c r="E169" s="53">
        <f t="shared" si="133"/>
        <v>0</v>
      </c>
      <c r="F169" s="53"/>
      <c r="G169" s="53">
        <f t="shared" si="111"/>
        <v>0</v>
      </c>
      <c r="H169" s="170"/>
      <c r="I169" s="53"/>
      <c r="J169" s="53"/>
      <c r="K169" s="53"/>
      <c r="L169" s="53"/>
      <c r="M169" s="53"/>
      <c r="N169" s="52"/>
    </row>
    <row r="170" spans="1:17" x14ac:dyDescent="0.3">
      <c r="A170" s="51" t="s">
        <v>460</v>
      </c>
      <c r="B170" s="242"/>
      <c r="C170" s="69"/>
      <c r="D170" s="69"/>
      <c r="E170" s="53">
        <f t="shared" si="133"/>
        <v>0</v>
      </c>
      <c r="F170" s="53"/>
      <c r="G170" s="53">
        <f t="shared" si="111"/>
        <v>0</v>
      </c>
      <c r="H170" s="170"/>
      <c r="I170" s="53"/>
      <c r="J170" s="53"/>
      <c r="K170" s="53"/>
      <c r="L170" s="53"/>
      <c r="M170" s="53"/>
      <c r="N170" s="52"/>
    </row>
    <row r="171" spans="1:17" x14ac:dyDescent="0.3">
      <c r="A171" s="56"/>
      <c r="B171" s="56"/>
      <c r="C171" s="69"/>
      <c r="D171" s="69"/>
      <c r="E171" s="53">
        <f t="shared" si="133"/>
        <v>0</v>
      </c>
      <c r="F171" s="53"/>
      <c r="G171" s="53">
        <f t="shared" si="111"/>
        <v>0</v>
      </c>
      <c r="H171" s="170"/>
      <c r="I171" s="53"/>
      <c r="J171" s="53"/>
      <c r="K171" s="53"/>
      <c r="L171" s="53"/>
      <c r="M171" s="53"/>
      <c r="N171" s="52"/>
    </row>
    <row r="172" spans="1:17" x14ac:dyDescent="0.3">
      <c r="A172" s="56" t="s">
        <v>204</v>
      </c>
      <c r="B172" s="56" t="s">
        <v>205</v>
      </c>
      <c r="C172" s="69">
        <v>1500000</v>
      </c>
      <c r="D172" s="69"/>
      <c r="E172" s="53">
        <f t="shared" si="133"/>
        <v>1500000</v>
      </c>
      <c r="F172" s="53"/>
      <c r="G172" s="53">
        <f t="shared" si="111"/>
        <v>1500000</v>
      </c>
      <c r="H172" s="170">
        <v>1867990.2800000003</v>
      </c>
      <c r="I172" s="69">
        <f>G172+H172</f>
        <v>3367990.2800000003</v>
      </c>
      <c r="J172" s="53">
        <f>C172*104.6%</f>
        <v>1569000</v>
      </c>
      <c r="K172" s="53">
        <f t="shared" ref="K172" si="149">J172*104.6%</f>
        <v>1641174</v>
      </c>
      <c r="L172" s="53">
        <v>2023283.28</v>
      </c>
      <c r="M172" s="53"/>
      <c r="N172" s="53">
        <f t="shared" ref="N172:N174" si="150">I172-L172-M172</f>
        <v>1344707.0000000002</v>
      </c>
      <c r="P172" s="64">
        <v>3437990.2800000003</v>
      </c>
      <c r="Q172" s="93">
        <f>L172-P172</f>
        <v>-1414707.0000000002</v>
      </c>
    </row>
    <row r="173" spans="1:17" x14ac:dyDescent="0.3">
      <c r="A173" s="52" t="s">
        <v>442</v>
      </c>
      <c r="B173" s="52" t="s">
        <v>430</v>
      </c>
      <c r="C173" s="53">
        <v>25000</v>
      </c>
      <c r="D173" s="53"/>
      <c r="E173" s="53">
        <f t="shared" si="133"/>
        <v>25000</v>
      </c>
      <c r="F173" s="53"/>
      <c r="G173" s="53">
        <f t="shared" si="111"/>
        <v>25000</v>
      </c>
      <c r="H173" s="170"/>
      <c r="I173" s="69">
        <f>G173+H173</f>
        <v>25000</v>
      </c>
      <c r="J173" s="53">
        <f>C173*104.6%</f>
        <v>26150</v>
      </c>
      <c r="K173" s="53">
        <f t="shared" ref="K173" si="151">J173*104.6%</f>
        <v>27352.9</v>
      </c>
      <c r="L173" s="53"/>
      <c r="M173" s="53"/>
      <c r="N173" s="53">
        <f t="shared" si="150"/>
        <v>25000</v>
      </c>
    </row>
    <row r="174" spans="1:17" ht="13.5" thickBot="1" x14ac:dyDescent="0.35">
      <c r="A174" s="73" t="s">
        <v>1298</v>
      </c>
      <c r="B174" s="73" t="s">
        <v>1299</v>
      </c>
      <c r="C174" s="79"/>
      <c r="D174" s="79"/>
      <c r="E174" s="53">
        <f t="shared" si="133"/>
        <v>0</v>
      </c>
      <c r="F174" s="79">
        <v>600000</v>
      </c>
      <c r="G174" s="53">
        <f t="shared" si="111"/>
        <v>600000</v>
      </c>
      <c r="H174" s="174">
        <v>-500000</v>
      </c>
      <c r="I174" s="69">
        <f>G174+H174</f>
        <v>100000</v>
      </c>
      <c r="J174" s="79"/>
      <c r="K174" s="79"/>
      <c r="L174" s="53"/>
      <c r="M174" s="53"/>
      <c r="N174" s="53">
        <f t="shared" si="150"/>
        <v>100000</v>
      </c>
    </row>
    <row r="175" spans="1:17" ht="13.5" thickBot="1" x14ac:dyDescent="0.35">
      <c r="A175" s="57" t="s">
        <v>678</v>
      </c>
      <c r="B175" s="57"/>
      <c r="C175" s="59">
        <f>SUM(C172:C174)</f>
        <v>1525000</v>
      </c>
      <c r="D175" s="59">
        <f t="shared" ref="D175:N175" si="152">SUM(D172:D174)</f>
        <v>0</v>
      </c>
      <c r="E175" s="59">
        <f t="shared" si="152"/>
        <v>1525000</v>
      </c>
      <c r="F175" s="59">
        <f t="shared" si="152"/>
        <v>600000</v>
      </c>
      <c r="G175" s="59">
        <f t="shared" si="152"/>
        <v>2125000</v>
      </c>
      <c r="H175" s="171">
        <f t="shared" si="152"/>
        <v>1367990.2800000003</v>
      </c>
      <c r="I175" s="59">
        <f t="shared" si="152"/>
        <v>3492990.2800000003</v>
      </c>
      <c r="J175" s="59">
        <f t="shared" si="152"/>
        <v>1595150</v>
      </c>
      <c r="K175" s="59">
        <f t="shared" si="152"/>
        <v>1668526.9</v>
      </c>
      <c r="L175" s="59">
        <f t="shared" si="152"/>
        <v>2023283.28</v>
      </c>
      <c r="M175" s="59">
        <f t="shared" si="152"/>
        <v>0</v>
      </c>
      <c r="N175" s="59">
        <f t="shared" si="152"/>
        <v>1469707.0000000002</v>
      </c>
    </row>
    <row r="176" spans="1:17" ht="13.5" thickTop="1" x14ac:dyDescent="0.3">
      <c r="A176" s="60"/>
      <c r="B176" s="61"/>
      <c r="C176" s="62"/>
      <c r="D176" s="62"/>
      <c r="E176" s="53">
        <f t="shared" si="133"/>
        <v>0</v>
      </c>
      <c r="F176" s="62"/>
      <c r="G176" s="53">
        <f t="shared" si="111"/>
        <v>0</v>
      </c>
      <c r="H176" s="172"/>
      <c r="I176" s="62"/>
      <c r="J176" s="62"/>
      <c r="K176" s="62"/>
      <c r="L176" s="53"/>
      <c r="M176" s="53"/>
      <c r="N176" s="52"/>
    </row>
    <row r="177" spans="1:14" x14ac:dyDescent="0.3">
      <c r="A177" s="51" t="s">
        <v>79</v>
      </c>
      <c r="B177" s="52"/>
      <c r="C177" s="62"/>
      <c r="D177" s="62"/>
      <c r="E177" s="53">
        <f t="shared" si="133"/>
        <v>0</v>
      </c>
      <c r="F177" s="62"/>
      <c r="G177" s="53">
        <f t="shared" si="111"/>
        <v>0</v>
      </c>
      <c r="H177" s="172"/>
      <c r="I177" s="62"/>
      <c r="J177" s="62"/>
      <c r="K177" s="62"/>
      <c r="L177" s="53"/>
      <c r="M177" s="53"/>
      <c r="N177" s="52"/>
    </row>
    <row r="178" spans="1:14" x14ac:dyDescent="0.3">
      <c r="A178" s="52"/>
      <c r="B178" s="52" t="s">
        <v>185</v>
      </c>
      <c r="C178" s="62">
        <v>0</v>
      </c>
      <c r="D178" s="62"/>
      <c r="E178" s="53">
        <f t="shared" si="133"/>
        <v>0</v>
      </c>
      <c r="F178" s="62"/>
      <c r="G178" s="53">
        <f t="shared" si="111"/>
        <v>0</v>
      </c>
      <c r="H178" s="172"/>
      <c r="I178" s="69">
        <f t="shared" ref="I178:I187" si="153">G178+H178</f>
        <v>0</v>
      </c>
      <c r="J178" s="62"/>
      <c r="K178" s="62"/>
      <c r="L178" s="53"/>
      <c r="M178" s="53"/>
      <c r="N178" s="53">
        <f t="shared" ref="N178:N186" si="154">I178-L178-M178</f>
        <v>0</v>
      </c>
    </row>
    <row r="179" spans="1:14" x14ac:dyDescent="0.3">
      <c r="A179" s="52"/>
      <c r="B179" s="52" t="s">
        <v>176</v>
      </c>
      <c r="C179" s="62">
        <v>0</v>
      </c>
      <c r="D179" s="62"/>
      <c r="E179" s="53">
        <f t="shared" si="133"/>
        <v>0</v>
      </c>
      <c r="F179" s="62"/>
      <c r="G179" s="53">
        <f t="shared" si="111"/>
        <v>0</v>
      </c>
      <c r="H179" s="172"/>
      <c r="I179" s="69">
        <f t="shared" si="153"/>
        <v>0</v>
      </c>
      <c r="J179" s="62"/>
      <c r="K179" s="62"/>
      <c r="L179" s="53"/>
      <c r="M179" s="53"/>
      <c r="N179" s="53">
        <f t="shared" si="154"/>
        <v>0</v>
      </c>
    </row>
    <row r="180" spans="1:14" x14ac:dyDescent="0.3">
      <c r="A180" s="52"/>
      <c r="B180" s="52" t="s">
        <v>182</v>
      </c>
      <c r="C180" s="62">
        <v>0</v>
      </c>
      <c r="D180" s="62"/>
      <c r="E180" s="53">
        <f t="shared" si="133"/>
        <v>0</v>
      </c>
      <c r="F180" s="62"/>
      <c r="G180" s="53">
        <f t="shared" ref="G180:G193" si="155">E180+F180</f>
        <v>0</v>
      </c>
      <c r="H180" s="172"/>
      <c r="I180" s="69">
        <f t="shared" si="153"/>
        <v>0</v>
      </c>
      <c r="J180" s="62"/>
      <c r="K180" s="62"/>
      <c r="L180" s="53"/>
      <c r="M180" s="53"/>
      <c r="N180" s="53">
        <f t="shared" si="154"/>
        <v>0</v>
      </c>
    </row>
    <row r="181" spans="1:14" x14ac:dyDescent="0.3">
      <c r="A181" s="52"/>
      <c r="B181" s="52" t="s">
        <v>59</v>
      </c>
      <c r="C181" s="62">
        <v>0</v>
      </c>
      <c r="D181" s="62"/>
      <c r="E181" s="53">
        <f t="shared" si="133"/>
        <v>0</v>
      </c>
      <c r="F181" s="62"/>
      <c r="G181" s="53">
        <f t="shared" si="155"/>
        <v>0</v>
      </c>
      <c r="H181" s="172"/>
      <c r="I181" s="69">
        <f t="shared" si="153"/>
        <v>0</v>
      </c>
      <c r="J181" s="62"/>
      <c r="K181" s="62"/>
      <c r="L181" s="53"/>
      <c r="M181" s="53"/>
      <c r="N181" s="53">
        <f t="shared" si="154"/>
        <v>0</v>
      </c>
    </row>
    <row r="182" spans="1:14" x14ac:dyDescent="0.3">
      <c r="A182" s="52"/>
      <c r="B182" s="52" t="s">
        <v>168</v>
      </c>
      <c r="C182" s="62">
        <v>0</v>
      </c>
      <c r="D182" s="62"/>
      <c r="E182" s="53">
        <f t="shared" si="133"/>
        <v>0</v>
      </c>
      <c r="F182" s="62"/>
      <c r="G182" s="53">
        <f t="shared" si="155"/>
        <v>0</v>
      </c>
      <c r="H182" s="172"/>
      <c r="I182" s="69">
        <f t="shared" si="153"/>
        <v>0</v>
      </c>
      <c r="J182" s="62"/>
      <c r="K182" s="62"/>
      <c r="L182" s="53"/>
      <c r="M182" s="53"/>
      <c r="N182" s="53">
        <f t="shared" si="154"/>
        <v>0</v>
      </c>
    </row>
    <row r="183" spans="1:14" x14ac:dyDescent="0.3">
      <c r="A183" s="52"/>
      <c r="B183" s="52" t="s">
        <v>173</v>
      </c>
      <c r="C183" s="53">
        <v>0</v>
      </c>
      <c r="D183" s="53"/>
      <c r="E183" s="53">
        <f t="shared" si="133"/>
        <v>0</v>
      </c>
      <c r="F183" s="53"/>
      <c r="G183" s="53">
        <f t="shared" si="155"/>
        <v>0</v>
      </c>
      <c r="H183" s="170"/>
      <c r="I183" s="69">
        <f t="shared" si="153"/>
        <v>0</v>
      </c>
      <c r="J183" s="53"/>
      <c r="K183" s="53"/>
      <c r="L183" s="53"/>
      <c r="M183" s="53"/>
      <c r="N183" s="53">
        <f t="shared" si="154"/>
        <v>0</v>
      </c>
    </row>
    <row r="184" spans="1:14" x14ac:dyDescent="0.3">
      <c r="A184" s="52"/>
      <c r="B184" s="52" t="s">
        <v>192</v>
      </c>
      <c r="C184" s="53">
        <v>0</v>
      </c>
      <c r="D184" s="53"/>
      <c r="E184" s="53">
        <f t="shared" si="133"/>
        <v>0</v>
      </c>
      <c r="F184" s="53"/>
      <c r="G184" s="53">
        <f t="shared" si="155"/>
        <v>0</v>
      </c>
      <c r="H184" s="170"/>
      <c r="I184" s="69">
        <f t="shared" si="153"/>
        <v>0</v>
      </c>
      <c r="J184" s="53"/>
      <c r="K184" s="53"/>
      <c r="L184" s="53"/>
      <c r="M184" s="53"/>
      <c r="N184" s="53">
        <f t="shared" si="154"/>
        <v>0</v>
      </c>
    </row>
    <row r="185" spans="1:14" x14ac:dyDescent="0.3">
      <c r="A185" s="52"/>
      <c r="B185" s="52" t="s">
        <v>57</v>
      </c>
      <c r="C185" s="53">
        <v>0</v>
      </c>
      <c r="D185" s="53"/>
      <c r="E185" s="53">
        <f t="shared" si="133"/>
        <v>0</v>
      </c>
      <c r="F185" s="53"/>
      <c r="G185" s="53">
        <f t="shared" si="155"/>
        <v>0</v>
      </c>
      <c r="H185" s="170"/>
      <c r="I185" s="69">
        <f t="shared" si="153"/>
        <v>0</v>
      </c>
      <c r="J185" s="53"/>
      <c r="K185" s="53"/>
      <c r="L185" s="53"/>
      <c r="M185" s="53"/>
      <c r="N185" s="53">
        <f t="shared" si="154"/>
        <v>0</v>
      </c>
    </row>
    <row r="186" spans="1:14" x14ac:dyDescent="0.3">
      <c r="A186" s="52"/>
      <c r="B186" s="52" t="s">
        <v>179</v>
      </c>
      <c r="C186" s="53">
        <v>0</v>
      </c>
      <c r="D186" s="53"/>
      <c r="E186" s="53">
        <f t="shared" si="133"/>
        <v>0</v>
      </c>
      <c r="F186" s="53"/>
      <c r="G186" s="53">
        <f t="shared" si="155"/>
        <v>0</v>
      </c>
      <c r="H186" s="170"/>
      <c r="I186" s="69">
        <f t="shared" si="153"/>
        <v>0</v>
      </c>
      <c r="J186" s="53"/>
      <c r="K186" s="53"/>
      <c r="L186" s="53"/>
      <c r="M186" s="53"/>
      <c r="N186" s="53">
        <f t="shared" si="154"/>
        <v>0</v>
      </c>
    </row>
    <row r="187" spans="1:14" ht="13.5" thickBot="1" x14ac:dyDescent="0.35">
      <c r="A187" s="55"/>
      <c r="B187" s="55"/>
      <c r="C187" s="69"/>
      <c r="D187" s="69"/>
      <c r="E187" s="53">
        <f t="shared" si="133"/>
        <v>0</v>
      </c>
      <c r="F187" s="69"/>
      <c r="G187" s="53">
        <f t="shared" si="155"/>
        <v>0</v>
      </c>
      <c r="H187" s="173"/>
      <c r="I187" s="69">
        <f t="shared" si="153"/>
        <v>0</v>
      </c>
      <c r="J187" s="69"/>
      <c r="K187" s="69"/>
      <c r="L187" s="53"/>
      <c r="M187" s="53"/>
      <c r="N187" s="52"/>
    </row>
    <row r="188" spans="1:14" ht="13.5" thickBot="1" x14ac:dyDescent="0.35">
      <c r="A188" s="57" t="s">
        <v>203</v>
      </c>
      <c r="B188" s="57"/>
      <c r="C188" s="59">
        <f>SUM(C178:C187)</f>
        <v>0</v>
      </c>
      <c r="D188" s="59"/>
      <c r="E188" s="59">
        <f t="shared" ref="E188:I188" si="156">SUM(E178:E187)</f>
        <v>0</v>
      </c>
      <c r="F188" s="59">
        <f t="shared" si="156"/>
        <v>0</v>
      </c>
      <c r="G188" s="59">
        <f t="shared" si="156"/>
        <v>0</v>
      </c>
      <c r="H188" s="171">
        <f t="shared" si="156"/>
        <v>0</v>
      </c>
      <c r="I188" s="59">
        <f t="shared" si="156"/>
        <v>0</v>
      </c>
      <c r="J188" s="59">
        <f t="shared" ref="J188:N188" si="157">SUM(J178:J187)</f>
        <v>0</v>
      </c>
      <c r="K188" s="59">
        <f t="shared" si="157"/>
        <v>0</v>
      </c>
      <c r="L188" s="59">
        <f t="shared" si="157"/>
        <v>0</v>
      </c>
      <c r="M188" s="59">
        <f t="shared" si="157"/>
        <v>0</v>
      </c>
      <c r="N188" s="59">
        <f t="shared" si="157"/>
        <v>0</v>
      </c>
    </row>
    <row r="189" spans="1:14" ht="14" thickTop="1" thickBot="1" x14ac:dyDescent="0.35">
      <c r="A189" s="74"/>
      <c r="B189" s="74"/>
      <c r="C189" s="79"/>
      <c r="D189" s="79"/>
      <c r="E189" s="53">
        <f t="shared" si="133"/>
        <v>0</v>
      </c>
      <c r="F189" s="79"/>
      <c r="G189" s="53">
        <f t="shared" si="155"/>
        <v>0</v>
      </c>
      <c r="H189" s="174"/>
      <c r="I189" s="79"/>
      <c r="J189" s="79"/>
      <c r="K189" s="79"/>
      <c r="L189" s="53"/>
      <c r="M189" s="53"/>
      <c r="N189" s="52"/>
    </row>
    <row r="190" spans="1:14" ht="13.5" thickBot="1" x14ac:dyDescent="0.35">
      <c r="A190" s="70" t="s">
        <v>869</v>
      </c>
      <c r="B190" s="70"/>
      <c r="C190" s="72">
        <f>C188+C175</f>
        <v>1525000</v>
      </c>
      <c r="D190" s="72">
        <f t="shared" ref="D190:N190" si="158">D188+D175</f>
        <v>0</v>
      </c>
      <c r="E190" s="72">
        <f t="shared" si="158"/>
        <v>1525000</v>
      </c>
      <c r="F190" s="72">
        <f t="shared" si="158"/>
        <v>600000</v>
      </c>
      <c r="G190" s="72">
        <f t="shared" si="158"/>
        <v>2125000</v>
      </c>
      <c r="H190" s="177">
        <f t="shared" si="158"/>
        <v>1367990.2800000003</v>
      </c>
      <c r="I190" s="72">
        <f t="shared" si="158"/>
        <v>3492990.2800000003</v>
      </c>
      <c r="J190" s="72">
        <f t="shared" si="158"/>
        <v>1595150</v>
      </c>
      <c r="K190" s="72">
        <f t="shared" si="158"/>
        <v>1668526.9</v>
      </c>
      <c r="L190" s="72">
        <f t="shared" si="158"/>
        <v>2023283.28</v>
      </c>
      <c r="M190" s="72">
        <f t="shared" si="158"/>
        <v>0</v>
      </c>
      <c r="N190" s="72">
        <f t="shared" si="158"/>
        <v>1469707.0000000002</v>
      </c>
    </row>
    <row r="191" spans="1:14" ht="14" thickTop="1" thickBot="1" x14ac:dyDescent="0.35">
      <c r="A191" s="74"/>
      <c r="B191" s="74"/>
      <c r="C191" s="79"/>
      <c r="D191" s="79"/>
      <c r="E191" s="53">
        <f t="shared" si="133"/>
        <v>0</v>
      </c>
      <c r="F191" s="79"/>
      <c r="G191" s="53">
        <f t="shared" si="155"/>
        <v>0</v>
      </c>
      <c r="H191" s="174"/>
      <c r="I191" s="79"/>
      <c r="J191" s="79"/>
      <c r="K191" s="79"/>
      <c r="L191" s="53"/>
      <c r="M191" s="53"/>
      <c r="N191" s="52"/>
    </row>
    <row r="192" spans="1:14" ht="13.5" thickBot="1" x14ac:dyDescent="0.35">
      <c r="A192" s="70" t="s">
        <v>735</v>
      </c>
      <c r="B192" s="70"/>
      <c r="C192" s="72">
        <f t="shared" ref="C192:N192" si="159">C190+C166+C106+C73</f>
        <v>40980814.653814547</v>
      </c>
      <c r="D192" s="72">
        <f t="shared" si="159"/>
        <v>100000</v>
      </c>
      <c r="E192" s="72">
        <f t="shared" si="159"/>
        <v>41080814.653814547</v>
      </c>
      <c r="F192" s="72">
        <f t="shared" si="159"/>
        <v>1450000</v>
      </c>
      <c r="G192" s="72">
        <f t="shared" si="159"/>
        <v>42530814.653814547</v>
      </c>
      <c r="H192" s="177">
        <f t="shared" si="159"/>
        <v>255061.83285192007</v>
      </c>
      <c r="I192" s="72">
        <f t="shared" si="159"/>
        <v>42785876.486666471</v>
      </c>
      <c r="J192" s="72">
        <f t="shared" si="159"/>
        <v>42865932.127890021</v>
      </c>
      <c r="K192" s="72">
        <f t="shared" si="159"/>
        <v>44837765.005772963</v>
      </c>
      <c r="L192" s="72">
        <f t="shared" si="159"/>
        <v>23699901.66</v>
      </c>
      <c r="M192" s="72">
        <f t="shared" si="159"/>
        <v>152475.58000000002</v>
      </c>
      <c r="N192" s="72">
        <f t="shared" si="159"/>
        <v>18898749.246666469</v>
      </c>
    </row>
    <row r="193" spans="1:16" ht="14" thickTop="1" thickBot="1" x14ac:dyDescent="0.35">
      <c r="A193" s="74"/>
      <c r="B193" s="74"/>
      <c r="C193" s="79"/>
      <c r="D193" s="79"/>
      <c r="E193" s="53">
        <f t="shared" si="133"/>
        <v>0</v>
      </c>
      <c r="F193" s="79"/>
      <c r="G193" s="53">
        <f t="shared" si="155"/>
        <v>0</v>
      </c>
      <c r="H193" s="174"/>
      <c r="I193" s="79"/>
      <c r="J193" s="79"/>
      <c r="K193" s="79"/>
      <c r="L193" s="53"/>
      <c r="M193" s="53"/>
      <c r="N193" s="52"/>
    </row>
    <row r="194" spans="1:16" s="77" customFormat="1" ht="13.5" thickBot="1" x14ac:dyDescent="0.35">
      <c r="A194" s="70" t="s">
        <v>696</v>
      </c>
      <c r="B194" s="70"/>
      <c r="C194" s="72">
        <f>C192</f>
        <v>40980814.653814547</v>
      </c>
      <c r="D194" s="72">
        <f t="shared" ref="D194:N194" si="160">D192</f>
        <v>100000</v>
      </c>
      <c r="E194" s="72">
        <f t="shared" si="160"/>
        <v>41080814.653814547</v>
      </c>
      <c r="F194" s="72">
        <f t="shared" si="160"/>
        <v>1450000</v>
      </c>
      <c r="G194" s="72">
        <f t="shared" si="160"/>
        <v>42530814.653814547</v>
      </c>
      <c r="H194" s="177">
        <f>H192</f>
        <v>255061.83285192007</v>
      </c>
      <c r="I194" s="72">
        <f t="shared" si="160"/>
        <v>42785876.486666471</v>
      </c>
      <c r="J194" s="72">
        <f t="shared" si="160"/>
        <v>42865932.127890021</v>
      </c>
      <c r="K194" s="72">
        <f t="shared" si="160"/>
        <v>44837765.005772963</v>
      </c>
      <c r="L194" s="72">
        <f t="shared" si="160"/>
        <v>23699901.66</v>
      </c>
      <c r="M194" s="72">
        <f t="shared" si="160"/>
        <v>152475.58000000002</v>
      </c>
      <c r="N194" s="72">
        <f t="shared" si="160"/>
        <v>18898749.246666469</v>
      </c>
      <c r="P194" s="76"/>
    </row>
    <row r="195" spans="1:16" ht="13.5" thickTop="1" x14ac:dyDescent="0.3"/>
    <row r="197" spans="1:16" x14ac:dyDescent="0.3">
      <c r="J197" s="64"/>
    </row>
    <row r="199" spans="1:16" x14ac:dyDescent="0.3">
      <c r="J199" s="64"/>
      <c r="K199" s="64"/>
    </row>
  </sheetData>
  <sortState xmlns:xlrd2="http://schemas.microsoft.com/office/spreadsheetml/2017/richdata2" ref="A6:Q58">
    <sortCondition ref="B6:B58"/>
  </sortState>
  <mergeCells count="1">
    <mergeCell ref="A2:K2"/>
  </mergeCells>
  <printOptions gridLines="1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rowBreaks count="3" manualBreakCount="3">
    <brk id="42" max="4" man="1"/>
    <brk id="90" max="10" man="1"/>
    <brk id="141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6"/>
  <sheetViews>
    <sheetView view="pageBreakPreview" zoomScale="80" zoomScaleNormal="80" zoomScaleSheetLayoutView="80" workbookViewId="0">
      <pane xSplit="2" ySplit="3" topLeftCell="E4" activePane="bottomRight" state="frozen"/>
      <selection activeCell="B183" sqref="B183"/>
      <selection pane="topRight" activeCell="B183" sqref="B183"/>
      <selection pane="bottomLeft" activeCell="B183" sqref="B183"/>
      <selection pane="bottomRight" activeCell="A2" sqref="A2:K2"/>
    </sheetView>
  </sheetViews>
  <sheetFormatPr defaultColWidth="9.1796875" defaultRowHeight="13" x14ac:dyDescent="0.3"/>
  <cols>
    <col min="1" max="1" width="36.81640625" style="63" customWidth="1"/>
    <col min="2" max="2" width="56.54296875" style="63" customWidth="1"/>
    <col min="3" max="4" width="16.54296875" style="64" hidden="1" customWidth="1"/>
    <col min="5" max="5" width="13.36328125" style="64" bestFit="1" customWidth="1"/>
    <col min="6" max="6" width="16.54296875" style="64" hidden="1" customWidth="1"/>
    <col min="7" max="7" width="13.7265625" style="64" bestFit="1" customWidth="1"/>
    <col min="8" max="8" width="11.6328125" style="167" bestFit="1" customWidth="1"/>
    <col min="9" max="9" width="16.54296875" style="64" customWidth="1"/>
    <col min="10" max="11" width="14.26953125" style="64" bestFit="1" customWidth="1"/>
    <col min="12" max="13" width="15.6328125" style="64" customWidth="1"/>
    <col min="14" max="14" width="13.26953125" style="63" customWidth="1"/>
    <col min="15" max="15" width="9.1796875" style="63"/>
    <col min="16" max="16" width="10.36328125" style="63" bestFit="1" customWidth="1"/>
    <col min="17" max="18" width="9.453125" style="63" bestFit="1" customWidth="1"/>
    <col min="19" max="16384" width="9.1796875" style="63"/>
  </cols>
  <sheetData>
    <row r="1" spans="1:18" ht="13.5" thickBot="1" x14ac:dyDescent="0.35">
      <c r="B1" s="215">
        <f>'2020 2021 ADJU BUDGET SUMMARY'!J24</f>
        <v>-58996.24570569396</v>
      </c>
      <c r="C1" s="64">
        <f>'2020 2021 ADJU BUDGET SUMMARY'!J24</f>
        <v>-58996.24570569396</v>
      </c>
    </row>
    <row r="2" spans="1:18" ht="13.5" thickBot="1" x14ac:dyDescent="0.35">
      <c r="A2" s="244" t="s">
        <v>1366</v>
      </c>
      <c r="B2" s="245"/>
      <c r="C2" s="245"/>
      <c r="D2" s="245"/>
      <c r="E2" s="245"/>
      <c r="F2" s="245"/>
      <c r="G2" s="245"/>
      <c r="H2" s="245"/>
      <c r="I2" s="245"/>
      <c r="J2" s="245"/>
      <c r="K2" s="246"/>
    </row>
    <row r="3" spans="1:18" ht="39.5" thickBot="1" x14ac:dyDescent="0.35">
      <c r="A3" s="75" t="s">
        <v>0</v>
      </c>
      <c r="B3" s="75" t="s">
        <v>1</v>
      </c>
      <c r="C3" s="164" t="s">
        <v>673</v>
      </c>
      <c r="D3" s="164" t="s">
        <v>1224</v>
      </c>
      <c r="E3" s="164" t="s">
        <v>1225</v>
      </c>
      <c r="F3" s="164" t="s">
        <v>1289</v>
      </c>
      <c r="G3" s="163" t="s">
        <v>1329</v>
      </c>
      <c r="H3" s="168" t="s">
        <v>1289</v>
      </c>
      <c r="I3" s="163" t="s">
        <v>1330</v>
      </c>
      <c r="J3" s="163" t="s">
        <v>674</v>
      </c>
      <c r="K3" s="163" t="s">
        <v>675</v>
      </c>
      <c r="L3" s="163" t="s">
        <v>1350</v>
      </c>
      <c r="M3" s="163" t="s">
        <v>1346</v>
      </c>
      <c r="N3" s="163" t="s">
        <v>1331</v>
      </c>
    </row>
    <row r="4" spans="1:18" x14ac:dyDescent="0.3">
      <c r="A4" s="60"/>
      <c r="B4" s="60"/>
      <c r="C4" s="66"/>
      <c r="D4" s="66"/>
      <c r="E4" s="66"/>
      <c r="F4" s="66"/>
      <c r="G4" s="66"/>
      <c r="H4" s="193"/>
      <c r="I4" s="66"/>
      <c r="J4" s="66"/>
      <c r="K4" s="66"/>
      <c r="L4" s="53"/>
      <c r="M4" s="53"/>
      <c r="N4" s="52"/>
    </row>
    <row r="5" spans="1:18" x14ac:dyDescent="0.3">
      <c r="A5" s="89" t="s">
        <v>76</v>
      </c>
      <c r="B5" s="50"/>
      <c r="C5" s="50"/>
      <c r="D5" s="50"/>
      <c r="E5" s="50"/>
      <c r="F5" s="50"/>
      <c r="G5" s="50"/>
      <c r="H5" s="169"/>
      <c r="I5" s="50"/>
      <c r="J5" s="50"/>
      <c r="K5" s="50"/>
      <c r="L5" s="53"/>
      <c r="M5" s="53"/>
      <c r="N5" s="52"/>
    </row>
    <row r="6" spans="1:18" x14ac:dyDescent="0.3">
      <c r="A6" s="51" t="s">
        <v>78</v>
      </c>
      <c r="B6" s="52"/>
      <c r="C6" s="54"/>
      <c r="D6" s="54"/>
      <c r="E6" s="54"/>
      <c r="F6" s="54"/>
      <c r="G6" s="54"/>
      <c r="H6" s="180"/>
      <c r="I6" s="54"/>
      <c r="J6" s="53"/>
      <c r="K6" s="53"/>
      <c r="L6" s="53"/>
      <c r="M6" s="53"/>
      <c r="N6" s="52"/>
    </row>
    <row r="7" spans="1:18" x14ac:dyDescent="0.3">
      <c r="A7" s="52" t="s">
        <v>260</v>
      </c>
      <c r="B7" s="52" t="s">
        <v>42</v>
      </c>
      <c r="C7" s="53">
        <v>80000</v>
      </c>
      <c r="D7" s="53"/>
      <c r="E7" s="53">
        <f>C7+D7</f>
        <v>80000</v>
      </c>
      <c r="F7" s="53"/>
      <c r="G7" s="53">
        <f t="shared" ref="G7:G44" si="0">E7+F7</f>
        <v>80000</v>
      </c>
      <c r="H7" s="170">
        <v>-40000</v>
      </c>
      <c r="I7" s="69">
        <f t="shared" ref="I7:I17" si="1">G7+H7</f>
        <v>40000</v>
      </c>
      <c r="J7" s="53">
        <f t="shared" ref="J7:J17" si="2">C7*104.6%</f>
        <v>83680</v>
      </c>
      <c r="K7" s="53">
        <f>J7*104.6%</f>
        <v>87529.279999999999</v>
      </c>
      <c r="L7" s="53">
        <v>0</v>
      </c>
      <c r="M7" s="53"/>
      <c r="N7" s="53">
        <f>I7-L7-M7</f>
        <v>40000</v>
      </c>
      <c r="Q7" s="93">
        <f>E9-P9</f>
        <v>37952.605714285717</v>
      </c>
    </row>
    <row r="8" spans="1:18" x14ac:dyDescent="0.3">
      <c r="A8" s="52" t="s">
        <v>664</v>
      </c>
      <c r="B8" s="52" t="s">
        <v>660</v>
      </c>
      <c r="C8" s="53">
        <v>500000</v>
      </c>
      <c r="D8" s="53"/>
      <c r="E8" s="53">
        <f t="shared" ref="E8:E17" si="3">C8+D8</f>
        <v>500000</v>
      </c>
      <c r="F8" s="53"/>
      <c r="G8" s="53">
        <f t="shared" si="0"/>
        <v>500000</v>
      </c>
      <c r="H8" s="170">
        <v>-500000</v>
      </c>
      <c r="I8" s="69">
        <f t="shared" si="1"/>
        <v>0</v>
      </c>
      <c r="J8" s="53">
        <f t="shared" si="2"/>
        <v>523000</v>
      </c>
      <c r="K8" s="53">
        <f t="shared" ref="K8" si="4">J8*104.6%</f>
        <v>547058</v>
      </c>
      <c r="L8" s="53">
        <v>0</v>
      </c>
      <c r="M8" s="53"/>
      <c r="N8" s="53">
        <f t="shared" ref="N8:N17" si="5">I8-L8-M8</f>
        <v>0</v>
      </c>
    </row>
    <row r="9" spans="1:18" x14ac:dyDescent="0.3">
      <c r="A9" s="52" t="s">
        <v>265</v>
      </c>
      <c r="B9" s="52" t="s">
        <v>399</v>
      </c>
      <c r="C9" s="53">
        <v>0</v>
      </c>
      <c r="D9" s="53">
        <v>150000</v>
      </c>
      <c r="E9" s="53">
        <f t="shared" si="3"/>
        <v>150000</v>
      </c>
      <c r="F9" s="53"/>
      <c r="G9" s="53">
        <f t="shared" si="0"/>
        <v>150000</v>
      </c>
      <c r="H9" s="170">
        <v>-37952.605714285717</v>
      </c>
      <c r="I9" s="69">
        <f t="shared" si="1"/>
        <v>112047.39428571428</v>
      </c>
      <c r="J9" s="53">
        <f t="shared" si="2"/>
        <v>0</v>
      </c>
      <c r="K9" s="53">
        <f t="shared" ref="K9" si="6">J9*104.6%</f>
        <v>0</v>
      </c>
      <c r="L9" s="53">
        <v>65360.979999999996</v>
      </c>
      <c r="M9" s="53"/>
      <c r="N9" s="53">
        <f t="shared" si="5"/>
        <v>46686.414285714287</v>
      </c>
      <c r="P9" s="93">
        <f>L9/7*12</f>
        <v>112047.39428571428</v>
      </c>
      <c r="Q9" s="93"/>
      <c r="R9" s="93">
        <f>P9-I9</f>
        <v>0</v>
      </c>
    </row>
    <row r="10" spans="1:18" x14ac:dyDescent="0.3">
      <c r="A10" s="52"/>
      <c r="B10" s="51" t="s">
        <v>480</v>
      </c>
      <c r="C10" s="53">
        <v>0</v>
      </c>
      <c r="D10" s="53"/>
      <c r="E10" s="53">
        <f t="shared" si="3"/>
        <v>0</v>
      </c>
      <c r="F10" s="53"/>
      <c r="G10" s="53">
        <f t="shared" si="0"/>
        <v>0</v>
      </c>
      <c r="H10" s="170"/>
      <c r="I10" s="69">
        <f t="shared" si="1"/>
        <v>0</v>
      </c>
      <c r="J10" s="53">
        <f t="shared" si="2"/>
        <v>0</v>
      </c>
      <c r="K10" s="53">
        <f t="shared" ref="K10" si="7">J10*104.6%</f>
        <v>0</v>
      </c>
      <c r="L10" s="53">
        <v>0</v>
      </c>
      <c r="M10" s="53"/>
      <c r="N10" s="53">
        <f t="shared" si="5"/>
        <v>0</v>
      </c>
    </row>
    <row r="11" spans="1:18" x14ac:dyDescent="0.3">
      <c r="A11" s="52" t="s">
        <v>264</v>
      </c>
      <c r="B11" s="52" t="s">
        <v>46</v>
      </c>
      <c r="C11" s="53">
        <v>1300000</v>
      </c>
      <c r="D11" s="53">
        <v>-150000</v>
      </c>
      <c r="E11" s="53">
        <f t="shared" si="3"/>
        <v>1150000</v>
      </c>
      <c r="F11" s="53"/>
      <c r="G11" s="53">
        <f t="shared" si="0"/>
        <v>1150000</v>
      </c>
      <c r="H11" s="170">
        <v>-100000</v>
      </c>
      <c r="I11" s="69">
        <f t="shared" si="1"/>
        <v>1050000</v>
      </c>
      <c r="J11" s="53">
        <f t="shared" si="2"/>
        <v>1359800</v>
      </c>
      <c r="K11" s="53">
        <f t="shared" ref="K11" si="8">J11*104.6%</f>
        <v>1422350.8</v>
      </c>
      <c r="L11" s="53">
        <v>617319.48</v>
      </c>
      <c r="M11" s="53"/>
      <c r="N11" s="53">
        <f t="shared" si="5"/>
        <v>432680.52</v>
      </c>
    </row>
    <row r="12" spans="1:18" x14ac:dyDescent="0.3">
      <c r="A12" s="52" t="s">
        <v>261</v>
      </c>
      <c r="B12" s="52" t="s">
        <v>44</v>
      </c>
      <c r="C12" s="53">
        <v>700000</v>
      </c>
      <c r="D12" s="53"/>
      <c r="E12" s="53">
        <f t="shared" si="3"/>
        <v>700000</v>
      </c>
      <c r="F12" s="53"/>
      <c r="G12" s="53">
        <f t="shared" si="0"/>
        <v>700000</v>
      </c>
      <c r="H12" s="170">
        <v>-100000</v>
      </c>
      <c r="I12" s="69">
        <f t="shared" si="1"/>
        <v>600000</v>
      </c>
      <c r="J12" s="53">
        <f t="shared" si="2"/>
        <v>732200</v>
      </c>
      <c r="K12" s="53">
        <f t="shared" ref="K12" si="9">J12*104.6%</f>
        <v>765881.20000000007</v>
      </c>
      <c r="L12" s="53">
        <v>482272.58999999997</v>
      </c>
      <c r="M12" s="53"/>
      <c r="N12" s="53">
        <f t="shared" si="5"/>
        <v>117727.41000000003</v>
      </c>
    </row>
    <row r="13" spans="1:18" x14ac:dyDescent="0.3">
      <c r="A13" s="52" t="s">
        <v>266</v>
      </c>
      <c r="B13" s="52" t="s">
        <v>267</v>
      </c>
      <c r="C13" s="53">
        <v>200000</v>
      </c>
      <c r="D13" s="53"/>
      <c r="E13" s="53">
        <f t="shared" si="3"/>
        <v>200000</v>
      </c>
      <c r="F13" s="53"/>
      <c r="G13" s="53">
        <f t="shared" si="0"/>
        <v>200000</v>
      </c>
      <c r="H13" s="170">
        <v>-100000</v>
      </c>
      <c r="I13" s="69">
        <f t="shared" si="1"/>
        <v>100000</v>
      </c>
      <c r="J13" s="53">
        <f t="shared" si="2"/>
        <v>209200</v>
      </c>
      <c r="K13" s="53">
        <f t="shared" ref="K13" si="10">J13*104.6%</f>
        <v>218823.2</v>
      </c>
      <c r="L13" s="53">
        <v>0</v>
      </c>
      <c r="M13" s="53"/>
      <c r="N13" s="53">
        <f t="shared" si="5"/>
        <v>100000</v>
      </c>
    </row>
    <row r="14" spans="1:18" x14ac:dyDescent="0.3">
      <c r="A14" s="52" t="s">
        <v>268</v>
      </c>
      <c r="B14" s="52" t="s">
        <v>269</v>
      </c>
      <c r="C14" s="53">
        <v>50000</v>
      </c>
      <c r="D14" s="53"/>
      <c r="E14" s="53">
        <f t="shared" si="3"/>
        <v>50000</v>
      </c>
      <c r="F14" s="53"/>
      <c r="G14" s="53">
        <f t="shared" si="0"/>
        <v>50000</v>
      </c>
      <c r="H14" s="170"/>
      <c r="I14" s="69">
        <f t="shared" si="1"/>
        <v>50000</v>
      </c>
      <c r="J14" s="53">
        <f t="shared" si="2"/>
        <v>52300</v>
      </c>
      <c r="K14" s="53">
        <f t="shared" ref="K14" si="11">J14*104.6%</f>
        <v>54705.8</v>
      </c>
      <c r="L14" s="53">
        <v>0</v>
      </c>
      <c r="M14" s="53"/>
      <c r="N14" s="53">
        <f t="shared" si="5"/>
        <v>50000</v>
      </c>
    </row>
    <row r="15" spans="1:18" x14ac:dyDescent="0.3">
      <c r="A15" s="52" t="s">
        <v>262</v>
      </c>
      <c r="B15" s="52" t="s">
        <v>263</v>
      </c>
      <c r="C15" s="53">
        <v>200000</v>
      </c>
      <c r="D15" s="53"/>
      <c r="E15" s="53">
        <f t="shared" si="3"/>
        <v>200000</v>
      </c>
      <c r="F15" s="53"/>
      <c r="G15" s="53">
        <f t="shared" si="0"/>
        <v>200000</v>
      </c>
      <c r="H15" s="170"/>
      <c r="I15" s="69">
        <f t="shared" si="1"/>
        <v>200000</v>
      </c>
      <c r="J15" s="53">
        <f t="shared" si="2"/>
        <v>209200</v>
      </c>
      <c r="K15" s="53">
        <f t="shared" ref="K15" si="12">J15*104.6%</f>
        <v>218823.2</v>
      </c>
      <c r="L15" s="53">
        <v>33595.39</v>
      </c>
      <c r="M15" s="53"/>
      <c r="N15" s="53">
        <f t="shared" si="5"/>
        <v>166404.60999999999</v>
      </c>
    </row>
    <row r="16" spans="1:18" x14ac:dyDescent="0.3">
      <c r="A16" s="52"/>
      <c r="B16" s="52"/>
      <c r="C16" s="53">
        <v>0</v>
      </c>
      <c r="D16" s="53"/>
      <c r="E16" s="53">
        <f t="shared" si="3"/>
        <v>0</v>
      </c>
      <c r="F16" s="53"/>
      <c r="G16" s="53">
        <f t="shared" si="0"/>
        <v>0</v>
      </c>
      <c r="H16" s="170"/>
      <c r="I16" s="69">
        <f t="shared" si="1"/>
        <v>0</v>
      </c>
      <c r="J16" s="53">
        <f t="shared" si="2"/>
        <v>0</v>
      </c>
      <c r="K16" s="53">
        <f t="shared" ref="K16" si="13">J16*104.6%</f>
        <v>0</v>
      </c>
      <c r="L16" s="53"/>
      <c r="M16" s="53"/>
      <c r="N16" s="53">
        <f t="shared" si="5"/>
        <v>0</v>
      </c>
    </row>
    <row r="17" spans="1:14" ht="13.5" thickBot="1" x14ac:dyDescent="0.35">
      <c r="A17" s="52" t="s">
        <v>553</v>
      </c>
      <c r="B17" s="52" t="s">
        <v>502</v>
      </c>
      <c r="C17" s="53">
        <v>200000</v>
      </c>
      <c r="D17" s="53"/>
      <c r="E17" s="53">
        <f t="shared" si="3"/>
        <v>200000</v>
      </c>
      <c r="F17" s="53"/>
      <c r="G17" s="53">
        <f t="shared" si="0"/>
        <v>200000</v>
      </c>
      <c r="H17" s="170">
        <v>-200000</v>
      </c>
      <c r="I17" s="69">
        <f t="shared" si="1"/>
        <v>0</v>
      </c>
      <c r="J17" s="53">
        <f t="shared" si="2"/>
        <v>209200</v>
      </c>
      <c r="K17" s="53">
        <f t="shared" ref="K17" si="14">J17*104.6%</f>
        <v>218823.2</v>
      </c>
      <c r="L17" s="53"/>
      <c r="M17" s="53"/>
      <c r="N17" s="53">
        <f t="shared" si="5"/>
        <v>0</v>
      </c>
    </row>
    <row r="18" spans="1:14" s="77" customFormat="1" ht="13.5" thickBot="1" x14ac:dyDescent="0.35">
      <c r="A18" s="57" t="s">
        <v>138</v>
      </c>
      <c r="B18" s="57"/>
      <c r="C18" s="59">
        <f>SUM(C7:C17)</f>
        <v>3230000</v>
      </c>
      <c r="D18" s="59">
        <f>SUM(D7:D17)</f>
        <v>0</v>
      </c>
      <c r="E18" s="59">
        <f>SUM(E7:E17)</f>
        <v>3230000</v>
      </c>
      <c r="F18" s="59">
        <f t="shared" ref="F18:N18" si="15">SUM(F7:F17)</f>
        <v>0</v>
      </c>
      <c r="G18" s="59">
        <f t="shared" si="15"/>
        <v>3230000</v>
      </c>
      <c r="H18" s="171">
        <f t="shared" si="15"/>
        <v>-1077952.6057142857</v>
      </c>
      <c r="I18" s="59">
        <f t="shared" si="15"/>
        <v>2152047.3942857143</v>
      </c>
      <c r="J18" s="59">
        <f t="shared" si="15"/>
        <v>3378580</v>
      </c>
      <c r="K18" s="59">
        <f t="shared" si="15"/>
        <v>3533994.6800000006</v>
      </c>
      <c r="L18" s="59">
        <f t="shared" si="15"/>
        <v>1198548.4399999997</v>
      </c>
      <c r="M18" s="59">
        <f t="shared" si="15"/>
        <v>0</v>
      </c>
      <c r="N18" s="59">
        <f t="shared" si="15"/>
        <v>953498.95428571431</v>
      </c>
    </row>
    <row r="19" spans="1:14" s="77" customFormat="1" ht="13.5" thickTop="1" x14ac:dyDescent="0.3">
      <c r="A19" s="60"/>
      <c r="B19" s="60"/>
      <c r="C19" s="78"/>
      <c r="D19" s="78"/>
      <c r="E19" s="78"/>
      <c r="F19" s="78"/>
      <c r="G19" s="53">
        <f t="shared" si="0"/>
        <v>0</v>
      </c>
      <c r="H19" s="172"/>
      <c r="I19" s="62"/>
      <c r="J19" s="78"/>
      <c r="K19" s="78"/>
      <c r="L19" s="67"/>
      <c r="M19" s="67"/>
      <c r="N19" s="51"/>
    </row>
    <row r="20" spans="1:14" x14ac:dyDescent="0.3">
      <c r="A20" s="51" t="s">
        <v>310</v>
      </c>
      <c r="B20" s="52"/>
      <c r="C20" s="53"/>
      <c r="D20" s="53"/>
      <c r="E20" s="53"/>
      <c r="F20" s="53"/>
      <c r="G20" s="53">
        <f t="shared" si="0"/>
        <v>0</v>
      </c>
      <c r="H20" s="170"/>
      <c r="I20" s="53"/>
      <c r="J20" s="53"/>
      <c r="K20" s="53"/>
      <c r="L20" s="53"/>
      <c r="M20" s="53"/>
      <c r="N20" s="52"/>
    </row>
    <row r="21" spans="1:14" x14ac:dyDescent="0.3">
      <c r="A21" s="52" t="s">
        <v>270</v>
      </c>
      <c r="B21" s="52" t="s">
        <v>271</v>
      </c>
      <c r="C21" s="53">
        <v>51741.092483999993</v>
      </c>
      <c r="D21" s="53"/>
      <c r="E21" s="53">
        <f t="shared" ref="E21:E40" si="16">C21+D21</f>
        <v>51741.092483999993</v>
      </c>
      <c r="F21" s="53"/>
      <c r="G21" s="53">
        <f t="shared" si="0"/>
        <v>51741.092483999993</v>
      </c>
      <c r="H21" s="170"/>
      <c r="I21" s="69">
        <f t="shared" ref="I21:I40" si="17">G21+H21</f>
        <v>51741.092483999993</v>
      </c>
      <c r="J21" s="53">
        <f t="shared" ref="J21:J40" si="18">C21*104.6%</f>
        <v>54121.182738263997</v>
      </c>
      <c r="K21" s="53">
        <f>J21*104.6%</f>
        <v>56610.757144224146</v>
      </c>
      <c r="L21" s="53">
        <v>32404.469999999998</v>
      </c>
      <c r="M21" s="53"/>
      <c r="N21" s="53">
        <f t="shared" ref="N21:N40" si="19">I21-L21-M21</f>
        <v>19336.622483999996</v>
      </c>
    </row>
    <row r="22" spans="1:14" x14ac:dyDescent="0.3">
      <c r="A22" s="52" t="s">
        <v>272</v>
      </c>
      <c r="B22" s="52" t="s">
        <v>273</v>
      </c>
      <c r="C22" s="53">
        <v>679321.12791600008</v>
      </c>
      <c r="D22" s="53"/>
      <c r="E22" s="53">
        <f t="shared" si="16"/>
        <v>679321.12791600008</v>
      </c>
      <c r="F22" s="53"/>
      <c r="G22" s="53">
        <f t="shared" si="0"/>
        <v>679321.12791600008</v>
      </c>
      <c r="H22" s="170"/>
      <c r="I22" s="69">
        <f t="shared" si="17"/>
        <v>679321.12791600008</v>
      </c>
      <c r="J22" s="53">
        <f t="shared" si="18"/>
        <v>710569.8998001361</v>
      </c>
      <c r="K22" s="53">
        <f t="shared" ref="K22" si="20">J22*104.6%</f>
        <v>743256.11519094242</v>
      </c>
      <c r="L22" s="53">
        <v>370007.47</v>
      </c>
      <c r="M22" s="53"/>
      <c r="N22" s="53">
        <f t="shared" si="19"/>
        <v>309313.65791600011</v>
      </c>
    </row>
    <row r="23" spans="1:14" x14ac:dyDescent="0.3">
      <c r="A23" s="52" t="s">
        <v>274</v>
      </c>
      <c r="B23" s="52" t="s">
        <v>275</v>
      </c>
      <c r="C23" s="53">
        <v>54781.86</v>
      </c>
      <c r="D23" s="53"/>
      <c r="E23" s="53">
        <f t="shared" si="16"/>
        <v>54781.86</v>
      </c>
      <c r="F23" s="53"/>
      <c r="G23" s="53">
        <f t="shared" si="0"/>
        <v>54781.86</v>
      </c>
      <c r="H23" s="170"/>
      <c r="I23" s="69">
        <f t="shared" si="17"/>
        <v>54781.86</v>
      </c>
      <c r="J23" s="53">
        <f t="shared" si="18"/>
        <v>57301.825560000005</v>
      </c>
      <c r="K23" s="53">
        <f t="shared" ref="K23" si="21">J23*104.6%</f>
        <v>59937.709535760005</v>
      </c>
      <c r="L23" s="53">
        <v>23800</v>
      </c>
      <c r="M23" s="53"/>
      <c r="N23" s="53">
        <f t="shared" si="19"/>
        <v>30981.86</v>
      </c>
    </row>
    <row r="24" spans="1:14" x14ac:dyDescent="0.3">
      <c r="A24" s="52" t="s">
        <v>278</v>
      </c>
      <c r="B24" s="52" t="s">
        <v>279</v>
      </c>
      <c r="C24" s="53">
        <v>637762.56545599992</v>
      </c>
      <c r="D24" s="53"/>
      <c r="E24" s="53">
        <f t="shared" si="16"/>
        <v>637762.56545599992</v>
      </c>
      <c r="F24" s="53"/>
      <c r="G24" s="53">
        <f t="shared" si="0"/>
        <v>637762.56545599992</v>
      </c>
      <c r="H24" s="170"/>
      <c r="I24" s="69">
        <f t="shared" si="17"/>
        <v>637762.56545599992</v>
      </c>
      <c r="J24" s="53">
        <f t="shared" si="18"/>
        <v>667099.64346697589</v>
      </c>
      <c r="K24" s="53">
        <f t="shared" ref="K24" si="22">J24*104.6%</f>
        <v>697786.22706645681</v>
      </c>
      <c r="L24" s="53">
        <v>339750.69</v>
      </c>
      <c r="M24" s="53"/>
      <c r="N24" s="53">
        <f t="shared" si="19"/>
        <v>298011.87545599992</v>
      </c>
    </row>
    <row r="25" spans="1:14" x14ac:dyDescent="0.3">
      <c r="A25" s="52" t="s">
        <v>280</v>
      </c>
      <c r="B25" s="52" t="s">
        <v>281</v>
      </c>
      <c r="C25" s="53">
        <v>46275.360000000001</v>
      </c>
      <c r="D25" s="53"/>
      <c r="E25" s="53">
        <f t="shared" si="16"/>
        <v>46275.360000000001</v>
      </c>
      <c r="F25" s="53"/>
      <c r="G25" s="53">
        <f t="shared" si="0"/>
        <v>46275.360000000001</v>
      </c>
      <c r="H25" s="170"/>
      <c r="I25" s="69">
        <f t="shared" si="17"/>
        <v>46275.360000000001</v>
      </c>
      <c r="J25" s="53">
        <f t="shared" si="18"/>
        <v>48404.026560000006</v>
      </c>
      <c r="K25" s="53">
        <f t="shared" ref="K25" si="23">J25*104.6%</f>
        <v>50630.61178176001</v>
      </c>
      <c r="L25" s="53">
        <v>23800</v>
      </c>
      <c r="M25" s="53"/>
      <c r="N25" s="53">
        <f t="shared" si="19"/>
        <v>22475.360000000001</v>
      </c>
    </row>
    <row r="26" spans="1:14" x14ac:dyDescent="0.3">
      <c r="A26" s="52" t="s">
        <v>282</v>
      </c>
      <c r="B26" s="52" t="s">
        <v>283</v>
      </c>
      <c r="C26" s="53">
        <v>36445.929120000008</v>
      </c>
      <c r="D26" s="53"/>
      <c r="E26" s="53">
        <f t="shared" si="16"/>
        <v>36445.929120000008</v>
      </c>
      <c r="F26" s="53"/>
      <c r="G26" s="53">
        <f t="shared" si="0"/>
        <v>36445.929120000008</v>
      </c>
      <c r="H26" s="170"/>
      <c r="I26" s="69">
        <f t="shared" si="17"/>
        <v>36445.929120000008</v>
      </c>
      <c r="J26" s="53">
        <f t="shared" si="18"/>
        <v>38122.441859520011</v>
      </c>
      <c r="K26" s="53">
        <f t="shared" ref="K26" si="24">J26*104.6%</f>
        <v>39876.074185057936</v>
      </c>
      <c r="L26" s="53">
        <v>11021.4</v>
      </c>
      <c r="M26" s="53"/>
      <c r="N26" s="53">
        <f t="shared" si="19"/>
        <v>25424.529120000007</v>
      </c>
    </row>
    <row r="27" spans="1:14" x14ac:dyDescent="0.3">
      <c r="A27" s="52" t="s">
        <v>284</v>
      </c>
      <c r="B27" s="52" t="s">
        <v>285</v>
      </c>
      <c r="C27" s="53">
        <v>93340.93982400003</v>
      </c>
      <c r="D27" s="53"/>
      <c r="E27" s="53">
        <f t="shared" si="16"/>
        <v>93340.93982400003</v>
      </c>
      <c r="F27" s="53"/>
      <c r="G27" s="53">
        <f t="shared" si="0"/>
        <v>93340.93982400003</v>
      </c>
      <c r="H27" s="170"/>
      <c r="I27" s="69">
        <f t="shared" si="17"/>
        <v>93340.93982400003</v>
      </c>
      <c r="J27" s="53">
        <f t="shared" si="18"/>
        <v>97634.623055904041</v>
      </c>
      <c r="K27" s="53">
        <f t="shared" ref="K27" si="25">J27*104.6%</f>
        <v>102125.81571647563</v>
      </c>
      <c r="L27" s="53">
        <v>50962.590000000004</v>
      </c>
      <c r="M27" s="53"/>
      <c r="N27" s="53">
        <f t="shared" si="19"/>
        <v>42378.349824000026</v>
      </c>
    </row>
    <row r="28" spans="1:14" x14ac:dyDescent="0.3">
      <c r="A28" s="52" t="s">
        <v>286</v>
      </c>
      <c r="B28" s="52" t="s">
        <v>287</v>
      </c>
      <c r="C28" s="53">
        <v>2835500</v>
      </c>
      <c r="D28" s="53"/>
      <c r="E28" s="53">
        <f t="shared" si="16"/>
        <v>2835500</v>
      </c>
      <c r="F28" s="53"/>
      <c r="G28" s="53">
        <f t="shared" si="0"/>
        <v>2835500</v>
      </c>
      <c r="H28" s="170"/>
      <c r="I28" s="69">
        <f t="shared" si="17"/>
        <v>2835500</v>
      </c>
      <c r="J28" s="53">
        <f t="shared" si="18"/>
        <v>2965933</v>
      </c>
      <c r="K28" s="53">
        <f t="shared" ref="K28" si="26">J28*104.6%</f>
        <v>3102365.9180000001</v>
      </c>
      <c r="L28" s="53">
        <v>1388083.23</v>
      </c>
      <c r="M28" s="53"/>
      <c r="N28" s="53">
        <f t="shared" si="19"/>
        <v>1447416.77</v>
      </c>
    </row>
    <row r="29" spans="1:14" x14ac:dyDescent="0.3">
      <c r="A29" s="52" t="s">
        <v>288</v>
      </c>
      <c r="B29" s="52" t="s">
        <v>289</v>
      </c>
      <c r="C29" s="53">
        <v>185101.44</v>
      </c>
      <c r="D29" s="53"/>
      <c r="E29" s="53">
        <f t="shared" si="16"/>
        <v>185101.44</v>
      </c>
      <c r="F29" s="53"/>
      <c r="G29" s="53">
        <f t="shared" si="0"/>
        <v>185101.44</v>
      </c>
      <c r="H29" s="170"/>
      <c r="I29" s="69">
        <f t="shared" si="17"/>
        <v>185101.44</v>
      </c>
      <c r="J29" s="53">
        <f t="shared" si="18"/>
        <v>193616.10624000002</v>
      </c>
      <c r="K29" s="53">
        <f t="shared" ref="K29" si="27">J29*104.6%</f>
        <v>202522.44712704004</v>
      </c>
      <c r="L29" s="53">
        <v>119000</v>
      </c>
      <c r="M29" s="53"/>
      <c r="N29" s="53">
        <f t="shared" si="19"/>
        <v>66101.440000000002</v>
      </c>
    </row>
    <row r="30" spans="1:14" x14ac:dyDescent="0.3">
      <c r="A30" s="52" t="s">
        <v>290</v>
      </c>
      <c r="B30" s="52" t="s">
        <v>277</v>
      </c>
      <c r="C30" s="53">
        <v>0</v>
      </c>
      <c r="D30" s="53"/>
      <c r="E30" s="53">
        <f t="shared" si="16"/>
        <v>0</v>
      </c>
      <c r="F30" s="53"/>
      <c r="G30" s="53">
        <f t="shared" si="0"/>
        <v>0</v>
      </c>
      <c r="H30" s="170"/>
      <c r="I30" s="69">
        <f t="shared" si="17"/>
        <v>0</v>
      </c>
      <c r="J30" s="53">
        <f t="shared" si="18"/>
        <v>0</v>
      </c>
      <c r="K30" s="53">
        <f t="shared" ref="K30" si="28">J30*104.6%</f>
        <v>0</v>
      </c>
      <c r="L30" s="53">
        <v>14646</v>
      </c>
      <c r="M30" s="53"/>
      <c r="N30" s="53">
        <f t="shared" si="19"/>
        <v>-14646</v>
      </c>
    </row>
    <row r="31" spans="1:14" x14ac:dyDescent="0.3">
      <c r="A31" s="52" t="s">
        <v>291</v>
      </c>
      <c r="B31" s="52" t="s">
        <v>292</v>
      </c>
      <c r="C31" s="53">
        <v>340260</v>
      </c>
      <c r="D31" s="53"/>
      <c r="E31" s="53">
        <f t="shared" si="16"/>
        <v>340260</v>
      </c>
      <c r="F31" s="53"/>
      <c r="G31" s="53">
        <f t="shared" si="0"/>
        <v>340260</v>
      </c>
      <c r="H31" s="170"/>
      <c r="I31" s="69">
        <f t="shared" si="17"/>
        <v>340260</v>
      </c>
      <c r="J31" s="53">
        <f t="shared" si="18"/>
        <v>355911.96</v>
      </c>
      <c r="K31" s="53">
        <f t="shared" ref="K31" si="29">J31*104.6%</f>
        <v>372283.91016000003</v>
      </c>
      <c r="L31" s="53">
        <v>147375.62</v>
      </c>
      <c r="M31" s="53"/>
      <c r="N31" s="53">
        <f t="shared" si="19"/>
        <v>192884.38</v>
      </c>
    </row>
    <row r="32" spans="1:14" x14ac:dyDescent="0.3">
      <c r="A32" s="52" t="s">
        <v>293</v>
      </c>
      <c r="B32" s="52" t="s">
        <v>294</v>
      </c>
      <c r="C32" s="53">
        <v>906204.70388000016</v>
      </c>
      <c r="D32" s="53"/>
      <c r="E32" s="53">
        <f t="shared" si="16"/>
        <v>906204.70388000016</v>
      </c>
      <c r="F32" s="53"/>
      <c r="G32" s="53">
        <f t="shared" si="0"/>
        <v>906204.70388000016</v>
      </c>
      <c r="H32" s="170"/>
      <c r="I32" s="69">
        <f t="shared" si="17"/>
        <v>906204.70388000016</v>
      </c>
      <c r="J32" s="53">
        <f t="shared" si="18"/>
        <v>947890.12025848019</v>
      </c>
      <c r="K32" s="53">
        <f t="shared" ref="K32" si="30">J32*104.6%</f>
        <v>991493.06579037034</v>
      </c>
      <c r="L32" s="53">
        <v>479557.35</v>
      </c>
      <c r="M32" s="53"/>
      <c r="N32" s="53">
        <f t="shared" si="19"/>
        <v>426647.35388000018</v>
      </c>
    </row>
    <row r="33" spans="1:14" x14ac:dyDescent="0.3">
      <c r="A33" s="52" t="s">
        <v>295</v>
      </c>
      <c r="B33" s="52" t="s">
        <v>296</v>
      </c>
      <c r="C33" s="53">
        <v>46275.360000000001</v>
      </c>
      <c r="D33" s="53"/>
      <c r="E33" s="53">
        <f t="shared" si="16"/>
        <v>46275.360000000001</v>
      </c>
      <c r="F33" s="53"/>
      <c r="G33" s="53">
        <f t="shared" si="0"/>
        <v>46275.360000000001</v>
      </c>
      <c r="H33" s="170"/>
      <c r="I33" s="69">
        <f t="shared" si="17"/>
        <v>46275.360000000001</v>
      </c>
      <c r="J33" s="53">
        <f t="shared" si="18"/>
        <v>48404.026560000006</v>
      </c>
      <c r="K33" s="53">
        <f t="shared" ref="K33" si="31">J33*104.6%</f>
        <v>50630.61178176001</v>
      </c>
      <c r="L33" s="53">
        <v>23800</v>
      </c>
      <c r="M33" s="53"/>
      <c r="N33" s="53">
        <f t="shared" si="19"/>
        <v>22475.360000000001</v>
      </c>
    </row>
    <row r="34" spans="1:14" x14ac:dyDescent="0.3">
      <c r="A34" s="52" t="s">
        <v>297</v>
      </c>
      <c r="B34" s="52" t="s">
        <v>298</v>
      </c>
      <c r="C34" s="53">
        <v>39855.334320000016</v>
      </c>
      <c r="D34" s="53"/>
      <c r="E34" s="53">
        <f t="shared" si="16"/>
        <v>39855.334320000016</v>
      </c>
      <c r="F34" s="53"/>
      <c r="G34" s="53">
        <f t="shared" si="0"/>
        <v>39855.334320000016</v>
      </c>
      <c r="H34" s="170"/>
      <c r="I34" s="69">
        <f t="shared" si="17"/>
        <v>39855.334320000016</v>
      </c>
      <c r="J34" s="53">
        <f t="shared" si="18"/>
        <v>41688.679698720021</v>
      </c>
      <c r="K34" s="53">
        <f t="shared" ref="K34" si="32">J34*104.6%</f>
        <v>43606.358964861145</v>
      </c>
      <c r="L34" s="53">
        <v>22610.400000000001</v>
      </c>
      <c r="M34" s="53"/>
      <c r="N34" s="53">
        <f t="shared" si="19"/>
        <v>17244.934320000015</v>
      </c>
    </row>
    <row r="35" spans="1:14" x14ac:dyDescent="0.3">
      <c r="A35" s="52" t="s">
        <v>299</v>
      </c>
      <c r="B35" s="52" t="s">
        <v>300</v>
      </c>
      <c r="C35" s="53">
        <v>7608562.8428640012</v>
      </c>
      <c r="D35" s="53"/>
      <c r="E35" s="53">
        <f t="shared" si="16"/>
        <v>7608562.8428640012</v>
      </c>
      <c r="F35" s="53"/>
      <c r="G35" s="53">
        <f t="shared" si="0"/>
        <v>7608562.8428640012</v>
      </c>
      <c r="H35" s="170"/>
      <c r="I35" s="69">
        <f t="shared" si="17"/>
        <v>7608562.8428640012</v>
      </c>
      <c r="J35" s="53">
        <f t="shared" si="18"/>
        <v>7958556.7336357459</v>
      </c>
      <c r="K35" s="53">
        <f t="shared" ref="K35" si="33">J35*104.6%</f>
        <v>8324650.3433829909</v>
      </c>
      <c r="L35" s="53">
        <v>4297954.8100000005</v>
      </c>
      <c r="M35" s="53"/>
      <c r="N35" s="53">
        <f t="shared" si="19"/>
        <v>3310608.0328640006</v>
      </c>
    </row>
    <row r="36" spans="1:14" x14ac:dyDescent="0.3">
      <c r="A36" s="52" t="s">
        <v>301</v>
      </c>
      <c r="B36" s="52" t="s">
        <v>302</v>
      </c>
      <c r="C36" s="53">
        <v>1388260.8</v>
      </c>
      <c r="D36" s="53"/>
      <c r="E36" s="53">
        <f t="shared" si="16"/>
        <v>1388260.8</v>
      </c>
      <c r="F36" s="53"/>
      <c r="G36" s="53">
        <f t="shared" si="0"/>
        <v>1388260.8</v>
      </c>
      <c r="H36" s="170"/>
      <c r="I36" s="69">
        <f t="shared" si="17"/>
        <v>1388260.8</v>
      </c>
      <c r="J36" s="53">
        <f t="shared" si="18"/>
        <v>1452120.7968000001</v>
      </c>
      <c r="K36" s="53">
        <f t="shared" ref="K36" si="34">J36*104.6%</f>
        <v>1518918.3534528003</v>
      </c>
      <c r="L36" s="53">
        <v>697000</v>
      </c>
      <c r="M36" s="53"/>
      <c r="N36" s="53">
        <f t="shared" si="19"/>
        <v>691260.8</v>
      </c>
    </row>
    <row r="37" spans="1:14" x14ac:dyDescent="0.3">
      <c r="A37" s="52" t="s">
        <v>303</v>
      </c>
      <c r="B37" s="52" t="s">
        <v>276</v>
      </c>
      <c r="C37" s="53">
        <v>145220.08713200002</v>
      </c>
      <c r="D37" s="53"/>
      <c r="E37" s="53">
        <f t="shared" si="16"/>
        <v>145220.08713200002</v>
      </c>
      <c r="F37" s="53"/>
      <c r="G37" s="53">
        <f t="shared" si="0"/>
        <v>145220.08713200002</v>
      </c>
      <c r="H37" s="170"/>
      <c r="I37" s="69">
        <f t="shared" si="17"/>
        <v>145220.08713200002</v>
      </c>
      <c r="J37" s="53">
        <f t="shared" si="18"/>
        <v>151900.21114007203</v>
      </c>
      <c r="K37" s="53">
        <f t="shared" ref="K37" si="35">J37*104.6%</f>
        <v>158887.62085251536</v>
      </c>
      <c r="L37" s="53">
        <v>79458.819999999992</v>
      </c>
      <c r="M37" s="53"/>
      <c r="N37" s="53">
        <f t="shared" si="19"/>
        <v>65761.267132000023</v>
      </c>
    </row>
    <row r="38" spans="1:14" x14ac:dyDescent="0.3">
      <c r="A38" s="52" t="s">
        <v>304</v>
      </c>
      <c r="B38" s="52" t="s">
        <v>305</v>
      </c>
      <c r="C38" s="53">
        <v>142840.01380000002</v>
      </c>
      <c r="D38" s="53"/>
      <c r="E38" s="53">
        <f t="shared" si="16"/>
        <v>142840.01380000002</v>
      </c>
      <c r="F38" s="53"/>
      <c r="G38" s="53">
        <f t="shared" si="0"/>
        <v>142840.01380000002</v>
      </c>
      <c r="H38" s="170"/>
      <c r="I38" s="69">
        <f t="shared" si="17"/>
        <v>142840.01380000002</v>
      </c>
      <c r="J38" s="53">
        <f t="shared" si="18"/>
        <v>149410.65443480003</v>
      </c>
      <c r="K38" s="53">
        <f t="shared" ref="K38" si="36">J38*104.6%</f>
        <v>156283.54453880084</v>
      </c>
      <c r="L38" s="53">
        <v>0</v>
      </c>
      <c r="M38" s="53"/>
      <c r="N38" s="53">
        <f t="shared" si="19"/>
        <v>142840.01380000002</v>
      </c>
    </row>
    <row r="39" spans="1:14" x14ac:dyDescent="0.3">
      <c r="A39" s="52" t="s">
        <v>306</v>
      </c>
      <c r="B39" s="52" t="s">
        <v>307</v>
      </c>
      <c r="C39" s="53">
        <v>340260</v>
      </c>
      <c r="D39" s="53"/>
      <c r="E39" s="53">
        <f t="shared" si="16"/>
        <v>340260</v>
      </c>
      <c r="F39" s="53"/>
      <c r="G39" s="53">
        <f t="shared" si="0"/>
        <v>340260</v>
      </c>
      <c r="H39" s="170"/>
      <c r="I39" s="69">
        <f t="shared" si="17"/>
        <v>340260</v>
      </c>
      <c r="J39" s="53">
        <f t="shared" si="18"/>
        <v>355911.96</v>
      </c>
      <c r="K39" s="53">
        <f t="shared" ref="K39" si="37">J39*104.6%</f>
        <v>372283.91016000003</v>
      </c>
      <c r="L39" s="53">
        <v>133747.4</v>
      </c>
      <c r="M39" s="53"/>
      <c r="N39" s="53">
        <f t="shared" si="19"/>
        <v>206512.6</v>
      </c>
    </row>
    <row r="40" spans="1:14" ht="13.5" thickBot="1" x14ac:dyDescent="0.35">
      <c r="A40" s="52" t="s">
        <v>308</v>
      </c>
      <c r="B40" s="52" t="s">
        <v>309</v>
      </c>
      <c r="C40" s="53">
        <v>668700.07080400025</v>
      </c>
      <c r="D40" s="53"/>
      <c r="E40" s="53">
        <f t="shared" si="16"/>
        <v>668700.07080400025</v>
      </c>
      <c r="F40" s="53"/>
      <c r="G40" s="53">
        <f t="shared" si="0"/>
        <v>668700.07080400025</v>
      </c>
      <c r="H40" s="170"/>
      <c r="I40" s="69">
        <f t="shared" si="17"/>
        <v>668700.07080400025</v>
      </c>
      <c r="J40" s="53">
        <f t="shared" si="18"/>
        <v>699460.27406098426</v>
      </c>
      <c r="K40" s="53">
        <f t="shared" ref="K40" si="38">J40*104.6%</f>
        <v>731635.4466677896</v>
      </c>
      <c r="L40" s="53">
        <v>186046.09</v>
      </c>
      <c r="M40" s="53"/>
      <c r="N40" s="53">
        <f t="shared" si="19"/>
        <v>482653.98080400028</v>
      </c>
    </row>
    <row r="41" spans="1:14" s="77" customFormat="1" ht="13.5" thickBot="1" x14ac:dyDescent="0.35">
      <c r="A41" s="57" t="s">
        <v>311</v>
      </c>
      <c r="B41" s="57"/>
      <c r="C41" s="59">
        <f t="shared" ref="C41:N41" si="39">SUM(C21:C40)</f>
        <v>16246709.527600003</v>
      </c>
      <c r="D41" s="59">
        <f t="shared" si="39"/>
        <v>0</v>
      </c>
      <c r="E41" s="59">
        <f t="shared" si="39"/>
        <v>16246709.527600003</v>
      </c>
      <c r="F41" s="59">
        <f t="shared" si="39"/>
        <v>0</v>
      </c>
      <c r="G41" s="59">
        <f t="shared" si="39"/>
        <v>16246709.527600003</v>
      </c>
      <c r="H41" s="171">
        <f t="shared" si="39"/>
        <v>0</v>
      </c>
      <c r="I41" s="59">
        <f t="shared" si="39"/>
        <v>16246709.527600003</v>
      </c>
      <c r="J41" s="59">
        <f t="shared" si="39"/>
        <v>16994058.165869605</v>
      </c>
      <c r="K41" s="59">
        <f t="shared" si="39"/>
        <v>17775784.841499608</v>
      </c>
      <c r="L41" s="59">
        <f t="shared" si="39"/>
        <v>8441026.3400000017</v>
      </c>
      <c r="M41" s="59">
        <f t="shared" si="39"/>
        <v>0</v>
      </c>
      <c r="N41" s="59">
        <f t="shared" si="39"/>
        <v>7805683.1875999998</v>
      </c>
    </row>
    <row r="42" spans="1:14" ht="14" thickTop="1" thickBot="1" x14ac:dyDescent="0.35">
      <c r="A42" s="73"/>
      <c r="B42" s="73"/>
      <c r="C42" s="79"/>
      <c r="D42" s="79"/>
      <c r="E42" s="79"/>
      <c r="F42" s="79"/>
      <c r="G42" s="53">
        <f t="shared" si="0"/>
        <v>0</v>
      </c>
      <c r="H42" s="174"/>
      <c r="I42" s="79"/>
      <c r="J42" s="79"/>
      <c r="K42" s="79"/>
      <c r="L42" s="53"/>
      <c r="M42" s="53"/>
      <c r="N42" s="52"/>
    </row>
    <row r="43" spans="1:14" s="77" customFormat="1" ht="13.5" thickBot="1" x14ac:dyDescent="0.35">
      <c r="A43" s="109" t="s">
        <v>718</v>
      </c>
      <c r="B43" s="57"/>
      <c r="C43" s="59">
        <f>C41+C18</f>
        <v>19476709.527600005</v>
      </c>
      <c r="D43" s="59">
        <f t="shared" ref="D43:N43" si="40">D41+D18</f>
        <v>0</v>
      </c>
      <c r="E43" s="59">
        <f t="shared" si="40"/>
        <v>19476709.527600005</v>
      </c>
      <c r="F43" s="59">
        <f t="shared" si="40"/>
        <v>0</v>
      </c>
      <c r="G43" s="59">
        <f t="shared" si="40"/>
        <v>19476709.527600005</v>
      </c>
      <c r="H43" s="171">
        <f t="shared" si="40"/>
        <v>-1077952.6057142857</v>
      </c>
      <c r="I43" s="59">
        <f t="shared" si="40"/>
        <v>18398756.921885718</v>
      </c>
      <c r="J43" s="59">
        <f t="shared" si="40"/>
        <v>20372638.165869605</v>
      </c>
      <c r="K43" s="59">
        <f t="shared" si="40"/>
        <v>21309779.521499608</v>
      </c>
      <c r="L43" s="59">
        <f t="shared" si="40"/>
        <v>9639574.7800000012</v>
      </c>
      <c r="M43" s="59">
        <f t="shared" si="40"/>
        <v>0</v>
      </c>
      <c r="N43" s="59">
        <f t="shared" si="40"/>
        <v>8759182.1418857146</v>
      </c>
    </row>
    <row r="44" spans="1:14" ht="14" thickTop="1" thickBot="1" x14ac:dyDescent="0.35">
      <c r="A44" s="108"/>
      <c r="B44" s="73"/>
      <c r="C44" s="79"/>
      <c r="D44" s="79"/>
      <c r="E44" s="79"/>
      <c r="F44" s="79"/>
      <c r="G44" s="53">
        <f t="shared" si="0"/>
        <v>0</v>
      </c>
      <c r="H44" s="174"/>
      <c r="I44" s="79"/>
      <c r="J44" s="79"/>
      <c r="K44" s="79"/>
      <c r="L44" s="53"/>
      <c r="M44" s="53"/>
      <c r="N44" s="52"/>
    </row>
    <row r="45" spans="1:14" ht="13.5" thickBot="1" x14ac:dyDescent="0.35">
      <c r="A45" s="110" t="s">
        <v>696</v>
      </c>
      <c r="B45" s="70"/>
      <c r="C45" s="72">
        <f>C43</f>
        <v>19476709.527600005</v>
      </c>
      <c r="D45" s="72">
        <f t="shared" ref="D45:N45" si="41">D43</f>
        <v>0</v>
      </c>
      <c r="E45" s="72">
        <f t="shared" si="41"/>
        <v>19476709.527600005</v>
      </c>
      <c r="F45" s="72">
        <f t="shared" si="41"/>
        <v>0</v>
      </c>
      <c r="G45" s="72">
        <f t="shared" si="41"/>
        <v>19476709.527600005</v>
      </c>
      <c r="H45" s="177">
        <f t="shared" si="41"/>
        <v>-1077952.6057142857</v>
      </c>
      <c r="I45" s="72">
        <f t="shared" si="41"/>
        <v>18398756.921885718</v>
      </c>
      <c r="J45" s="72">
        <f t="shared" si="41"/>
        <v>20372638.165869605</v>
      </c>
      <c r="K45" s="72">
        <f t="shared" si="41"/>
        <v>21309779.521499608</v>
      </c>
      <c r="L45" s="72">
        <f t="shared" si="41"/>
        <v>9639574.7800000012</v>
      </c>
      <c r="M45" s="72">
        <f t="shared" si="41"/>
        <v>0</v>
      </c>
      <c r="N45" s="72">
        <f t="shared" si="41"/>
        <v>8759182.1418857146</v>
      </c>
    </row>
    <row r="46" spans="1:14" ht="13.5" thickTop="1" x14ac:dyDescent="0.3"/>
  </sheetData>
  <sortState xmlns:xlrd2="http://schemas.microsoft.com/office/spreadsheetml/2017/richdata2" ref="A12:O18">
    <sortCondition ref="B12:B18"/>
  </sortState>
  <mergeCells count="1">
    <mergeCell ref="A2:K2"/>
  </mergeCells>
  <printOptions gridLines="1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B12"/>
  <sheetViews>
    <sheetView workbookViewId="0">
      <selection activeCell="B9" sqref="B9"/>
    </sheetView>
  </sheetViews>
  <sheetFormatPr defaultRowHeight="14.5" x14ac:dyDescent="0.35"/>
  <cols>
    <col min="1" max="1" width="60.7265625" bestFit="1" customWidth="1"/>
    <col min="2" max="2" width="14" style="1" bestFit="1" customWidth="1"/>
  </cols>
  <sheetData>
    <row r="2" spans="1:2" x14ac:dyDescent="0.35">
      <c r="A2" t="s">
        <v>397</v>
      </c>
      <c r="B2" s="1">
        <v>14000000</v>
      </c>
    </row>
    <row r="3" spans="1:2" x14ac:dyDescent="0.35">
      <c r="A3" t="s">
        <v>434</v>
      </c>
      <c r="B3" s="1">
        <v>3200000</v>
      </c>
    </row>
    <row r="4" spans="1:2" x14ac:dyDescent="0.35">
      <c r="A4" t="s">
        <v>435</v>
      </c>
      <c r="B4" s="1">
        <v>8100000</v>
      </c>
    </row>
    <row r="5" spans="1:2" x14ac:dyDescent="0.35">
      <c r="A5" t="s">
        <v>375</v>
      </c>
      <c r="B5" s="1">
        <v>600000</v>
      </c>
    </row>
    <row r="6" spans="1:2" x14ac:dyDescent="0.35">
      <c r="A6" t="s">
        <v>364</v>
      </c>
      <c r="B6" s="1">
        <v>5700000</v>
      </c>
    </row>
    <row r="7" spans="1:2" x14ac:dyDescent="0.35">
      <c r="A7" t="s">
        <v>327</v>
      </c>
      <c r="B7" s="1">
        <v>700000</v>
      </c>
    </row>
    <row r="8" spans="1:2" x14ac:dyDescent="0.35">
      <c r="A8" t="s">
        <v>436</v>
      </c>
      <c r="B8" s="1">
        <v>400000</v>
      </c>
    </row>
    <row r="9" spans="1:2" x14ac:dyDescent="0.35">
      <c r="A9" t="s">
        <v>437</v>
      </c>
      <c r="B9" s="1">
        <f>3200000-720000</f>
        <v>2480000</v>
      </c>
    </row>
    <row r="10" spans="1:2" x14ac:dyDescent="0.35">
      <c r="B10" s="1">
        <f>SUM(B2:B9)</f>
        <v>35180000</v>
      </c>
    </row>
    <row r="11" spans="1:2" x14ac:dyDescent="0.35">
      <c r="B11" s="1">
        <v>26000000</v>
      </c>
    </row>
    <row r="12" spans="1:2" x14ac:dyDescent="0.35">
      <c r="B12" s="1">
        <f>B10-B11</f>
        <v>9180000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16"/>
  <sheetViews>
    <sheetView view="pageBreakPreview" zoomScale="80" zoomScaleNormal="80" zoomScaleSheetLayoutView="80" workbookViewId="0">
      <pane xSplit="2" ySplit="3" topLeftCell="H87" activePane="bottomRight" state="frozen"/>
      <selection activeCell="B183" sqref="B183"/>
      <selection pane="topRight" activeCell="B183" sqref="B183"/>
      <selection pane="bottomLeft" activeCell="B183" sqref="B183"/>
      <selection pane="bottomRight" activeCell="A2" sqref="A2:K2"/>
    </sheetView>
  </sheetViews>
  <sheetFormatPr defaultColWidth="57" defaultRowHeight="13" x14ac:dyDescent="0.3"/>
  <cols>
    <col min="1" max="1" width="38.1796875" style="63" customWidth="1"/>
    <col min="2" max="2" width="54.90625" style="63" customWidth="1"/>
    <col min="3" max="4" width="14.7265625" style="64" hidden="1" customWidth="1"/>
    <col min="5" max="5" width="13.36328125" style="64" bestFit="1" customWidth="1"/>
    <col min="6" max="6" width="14.7265625" style="64" hidden="1" customWidth="1"/>
    <col min="7" max="7" width="13.7265625" style="64" bestFit="1" customWidth="1"/>
    <col min="8" max="8" width="11.7265625" style="167" bestFit="1" customWidth="1"/>
    <col min="9" max="9" width="13.7265625" style="64" bestFit="1" customWidth="1"/>
    <col min="10" max="10" width="14.26953125" style="64" customWidth="1"/>
    <col min="11" max="11" width="14.26953125" style="64" bestFit="1" customWidth="1"/>
    <col min="12" max="12" width="17.453125" style="64" bestFit="1" customWidth="1"/>
    <col min="13" max="13" width="17.453125" style="64" customWidth="1"/>
    <col min="14" max="14" width="18.6328125" style="63" bestFit="1" customWidth="1"/>
    <col min="15" max="15" width="10.36328125" style="64" bestFit="1" customWidth="1"/>
    <col min="16" max="16384" width="57" style="63"/>
  </cols>
  <sheetData>
    <row r="1" spans="1:14" ht="13.5" thickBot="1" x14ac:dyDescent="0.35">
      <c r="B1" s="215">
        <f>'2020 2021 ADJU BUDGET SUMMARY'!J24</f>
        <v>-58996.24570569396</v>
      </c>
      <c r="C1" s="64">
        <f>'2020 2021 ADJU BUDGET SUMMARY'!J24</f>
        <v>-58996.24570569396</v>
      </c>
    </row>
    <row r="2" spans="1:14" ht="13.5" thickBot="1" x14ac:dyDescent="0.35">
      <c r="A2" s="244" t="s">
        <v>1367</v>
      </c>
      <c r="B2" s="245"/>
      <c r="C2" s="245"/>
      <c r="D2" s="245"/>
      <c r="E2" s="245"/>
      <c r="F2" s="245"/>
      <c r="G2" s="245"/>
      <c r="H2" s="245"/>
      <c r="I2" s="245"/>
      <c r="J2" s="245"/>
      <c r="K2" s="246"/>
    </row>
    <row r="3" spans="1:14" ht="39.5" thickBot="1" x14ac:dyDescent="0.35">
      <c r="A3" s="75" t="s">
        <v>0</v>
      </c>
      <c r="B3" s="75" t="s">
        <v>1</v>
      </c>
      <c r="C3" s="163" t="s">
        <v>673</v>
      </c>
      <c r="D3" s="163" t="s">
        <v>1224</v>
      </c>
      <c r="E3" s="163" t="s">
        <v>1225</v>
      </c>
      <c r="F3" s="163" t="s">
        <v>1289</v>
      </c>
      <c r="G3" s="163" t="s">
        <v>1329</v>
      </c>
      <c r="H3" s="168" t="s">
        <v>1289</v>
      </c>
      <c r="I3" s="163" t="s">
        <v>1330</v>
      </c>
      <c r="J3" s="163" t="s">
        <v>674</v>
      </c>
      <c r="K3" s="163" t="s">
        <v>675</v>
      </c>
      <c r="L3" s="163" t="s">
        <v>1350</v>
      </c>
      <c r="M3" s="163" t="s">
        <v>1346</v>
      </c>
      <c r="N3" s="163" t="s">
        <v>1331</v>
      </c>
    </row>
    <row r="4" spans="1:14" x14ac:dyDescent="0.3">
      <c r="A4" s="60"/>
      <c r="B4" s="60"/>
      <c r="C4" s="66"/>
      <c r="D4" s="66"/>
      <c r="E4" s="66"/>
      <c r="F4" s="66"/>
      <c r="G4" s="66"/>
      <c r="H4" s="193"/>
      <c r="I4" s="66"/>
      <c r="J4" s="66"/>
      <c r="K4" s="66"/>
      <c r="L4" s="53"/>
      <c r="M4" s="53"/>
      <c r="N4" s="52"/>
    </row>
    <row r="5" spans="1:14" ht="15" customHeight="1" x14ac:dyDescent="0.3">
      <c r="A5" s="50" t="s">
        <v>679</v>
      </c>
      <c r="B5" s="50"/>
      <c r="C5" s="50"/>
      <c r="D5" s="50"/>
      <c r="E5" s="50"/>
      <c r="F5" s="50"/>
      <c r="G5" s="50"/>
      <c r="H5" s="169"/>
      <c r="I5" s="50"/>
      <c r="J5" s="50"/>
      <c r="K5" s="50"/>
      <c r="L5" s="53"/>
      <c r="M5" s="53"/>
      <c r="N5" s="52"/>
    </row>
    <row r="6" spans="1:14" x14ac:dyDescent="0.3">
      <c r="A6" s="50" t="s">
        <v>460</v>
      </c>
      <c r="B6" s="50"/>
      <c r="C6" s="50"/>
      <c r="D6" s="50"/>
      <c r="E6" s="50"/>
      <c r="F6" s="50"/>
      <c r="G6" s="50"/>
      <c r="H6" s="169"/>
      <c r="I6" s="50"/>
      <c r="J6" s="50"/>
      <c r="K6" s="50"/>
      <c r="L6" s="53"/>
      <c r="M6" s="53"/>
      <c r="N6" s="52"/>
    </row>
    <row r="7" spans="1:14" x14ac:dyDescent="0.3">
      <c r="A7" s="51"/>
      <c r="B7" s="51" t="s">
        <v>497</v>
      </c>
      <c r="C7" s="53"/>
      <c r="D7" s="53"/>
      <c r="E7" s="53"/>
      <c r="F7" s="53"/>
      <c r="G7" s="53"/>
      <c r="H7" s="170"/>
      <c r="I7" s="53"/>
      <c r="J7" s="53"/>
      <c r="K7" s="53"/>
      <c r="L7" s="53"/>
      <c r="M7" s="53"/>
      <c r="N7" s="52"/>
    </row>
    <row r="8" spans="1:14" x14ac:dyDescent="0.3">
      <c r="A8" s="52" t="s">
        <v>560</v>
      </c>
      <c r="B8" s="52" t="s">
        <v>532</v>
      </c>
      <c r="C8" s="53">
        <v>1400000</v>
      </c>
      <c r="D8" s="53"/>
      <c r="E8" s="53">
        <f>C8+D8</f>
        <v>1400000</v>
      </c>
      <c r="F8" s="53"/>
      <c r="G8" s="53">
        <f t="shared" ref="G8:G76" si="0">E8+F8</f>
        <v>1400000</v>
      </c>
      <c r="H8" s="170">
        <v>-1400000</v>
      </c>
      <c r="I8" s="69">
        <f t="shared" ref="I8:I42" si="1">G8+H8</f>
        <v>0</v>
      </c>
      <c r="J8" s="53">
        <f t="shared" ref="J8:J21" si="2">C8*104.6%</f>
        <v>1464400</v>
      </c>
      <c r="K8" s="53">
        <f>J8*104.6%</f>
        <v>1531762.4000000001</v>
      </c>
      <c r="L8" s="53"/>
      <c r="M8" s="53"/>
      <c r="N8" s="53">
        <f>I8-L8-M8</f>
        <v>0</v>
      </c>
    </row>
    <row r="9" spans="1:14" x14ac:dyDescent="0.3">
      <c r="A9" s="52" t="s">
        <v>535</v>
      </c>
      <c r="B9" s="52" t="s">
        <v>533</v>
      </c>
      <c r="C9" s="53">
        <v>250000</v>
      </c>
      <c r="D9" s="53"/>
      <c r="E9" s="53">
        <f t="shared" ref="E9:E76" si="3">C9+D9</f>
        <v>250000</v>
      </c>
      <c r="F9" s="53"/>
      <c r="G9" s="53">
        <f t="shared" si="0"/>
        <v>250000</v>
      </c>
      <c r="H9" s="170">
        <v>-250000</v>
      </c>
      <c r="I9" s="69">
        <f t="shared" si="1"/>
        <v>0</v>
      </c>
      <c r="J9" s="53">
        <f t="shared" si="2"/>
        <v>261500</v>
      </c>
      <c r="K9" s="53">
        <f t="shared" ref="K9" si="4">J9*104.6%</f>
        <v>273529</v>
      </c>
      <c r="L9" s="53"/>
      <c r="M9" s="53"/>
      <c r="N9" s="53">
        <f t="shared" ref="N9:N61" si="5">I9-L9-M9</f>
        <v>0</v>
      </c>
    </row>
    <row r="10" spans="1:14" x14ac:dyDescent="0.3">
      <c r="A10" s="52" t="s">
        <v>536</v>
      </c>
      <c r="B10" s="52" t="s">
        <v>534</v>
      </c>
      <c r="C10" s="53">
        <v>200000</v>
      </c>
      <c r="D10" s="53"/>
      <c r="E10" s="53">
        <f t="shared" si="3"/>
        <v>200000</v>
      </c>
      <c r="F10" s="53"/>
      <c r="G10" s="53">
        <f t="shared" si="0"/>
        <v>200000</v>
      </c>
      <c r="H10" s="170">
        <v>-200000</v>
      </c>
      <c r="I10" s="69">
        <f t="shared" si="1"/>
        <v>0</v>
      </c>
      <c r="J10" s="53">
        <f t="shared" si="2"/>
        <v>209200</v>
      </c>
      <c r="K10" s="53">
        <f t="shared" ref="K10" si="6">J10*104.6%</f>
        <v>218823.2</v>
      </c>
      <c r="L10" s="53"/>
      <c r="M10" s="53"/>
      <c r="N10" s="53">
        <f t="shared" si="5"/>
        <v>0</v>
      </c>
    </row>
    <row r="11" spans="1:14" x14ac:dyDescent="0.3">
      <c r="A11" s="52"/>
      <c r="B11" s="52"/>
      <c r="C11" s="53">
        <v>0</v>
      </c>
      <c r="D11" s="53"/>
      <c r="E11" s="53">
        <f t="shared" si="3"/>
        <v>0</v>
      </c>
      <c r="F11" s="53"/>
      <c r="G11" s="53">
        <f t="shared" si="0"/>
        <v>0</v>
      </c>
      <c r="H11" s="170"/>
      <c r="I11" s="69">
        <f t="shared" si="1"/>
        <v>0</v>
      </c>
      <c r="J11" s="53">
        <f t="shared" si="2"/>
        <v>0</v>
      </c>
      <c r="K11" s="53">
        <f t="shared" ref="K11" si="7">J11*104.6%</f>
        <v>0</v>
      </c>
      <c r="L11" s="53"/>
      <c r="M11" s="53"/>
      <c r="N11" s="53">
        <f t="shared" si="5"/>
        <v>0</v>
      </c>
    </row>
    <row r="12" spans="1:14" x14ac:dyDescent="0.3">
      <c r="A12" s="52"/>
      <c r="B12" s="51" t="s">
        <v>496</v>
      </c>
      <c r="C12" s="53">
        <v>0</v>
      </c>
      <c r="D12" s="53"/>
      <c r="E12" s="53">
        <f t="shared" si="3"/>
        <v>0</v>
      </c>
      <c r="F12" s="53"/>
      <c r="G12" s="53">
        <f t="shared" si="0"/>
        <v>0</v>
      </c>
      <c r="H12" s="170"/>
      <c r="I12" s="69">
        <f t="shared" si="1"/>
        <v>0</v>
      </c>
      <c r="J12" s="53">
        <f t="shared" si="2"/>
        <v>0</v>
      </c>
      <c r="K12" s="53">
        <f t="shared" ref="K12" si="8">J12*104.6%</f>
        <v>0</v>
      </c>
      <c r="L12" s="53"/>
      <c r="M12" s="53"/>
      <c r="N12" s="53">
        <f t="shared" si="5"/>
        <v>0</v>
      </c>
    </row>
    <row r="13" spans="1:14" x14ac:dyDescent="0.3">
      <c r="A13" s="52" t="s">
        <v>542</v>
      </c>
      <c r="B13" s="52" t="s">
        <v>537</v>
      </c>
      <c r="C13" s="53">
        <v>300000</v>
      </c>
      <c r="D13" s="53"/>
      <c r="E13" s="53">
        <f t="shared" si="3"/>
        <v>300000</v>
      </c>
      <c r="F13" s="53"/>
      <c r="G13" s="53">
        <f t="shared" si="0"/>
        <v>300000</v>
      </c>
      <c r="H13" s="170">
        <v>-105000</v>
      </c>
      <c r="I13" s="69">
        <f t="shared" si="1"/>
        <v>195000</v>
      </c>
      <c r="J13" s="53">
        <f t="shared" si="2"/>
        <v>313800</v>
      </c>
      <c r="K13" s="53">
        <f t="shared" ref="K13" si="9">J13*104.6%</f>
        <v>328234.8</v>
      </c>
      <c r="L13" s="53">
        <v>195000</v>
      </c>
      <c r="M13" s="53"/>
      <c r="N13" s="53">
        <f t="shared" si="5"/>
        <v>0</v>
      </c>
    </row>
    <row r="14" spans="1:14" x14ac:dyDescent="0.3">
      <c r="A14" s="52" t="s">
        <v>541</v>
      </c>
      <c r="B14" s="52" t="s">
        <v>538</v>
      </c>
      <c r="C14" s="53">
        <v>30000</v>
      </c>
      <c r="D14" s="53"/>
      <c r="E14" s="53">
        <f t="shared" si="3"/>
        <v>30000</v>
      </c>
      <c r="F14" s="53"/>
      <c r="G14" s="53">
        <f t="shared" si="0"/>
        <v>30000</v>
      </c>
      <c r="H14" s="170">
        <v>-490</v>
      </c>
      <c r="I14" s="69">
        <f t="shared" si="1"/>
        <v>29510</v>
      </c>
      <c r="J14" s="53">
        <f t="shared" si="2"/>
        <v>31380</v>
      </c>
      <c r="K14" s="53">
        <f t="shared" ref="K14" si="10">J14*104.6%</f>
        <v>32823.480000000003</v>
      </c>
      <c r="L14" s="53">
        <v>29510</v>
      </c>
      <c r="M14" s="53"/>
      <c r="N14" s="53">
        <f t="shared" si="5"/>
        <v>0</v>
      </c>
    </row>
    <row r="15" spans="1:14" x14ac:dyDescent="0.3">
      <c r="A15" s="52" t="s">
        <v>540</v>
      </c>
      <c r="B15" s="52" t="s">
        <v>539</v>
      </c>
      <c r="C15" s="53">
        <v>80000</v>
      </c>
      <c r="D15" s="53"/>
      <c r="E15" s="53">
        <f t="shared" si="3"/>
        <v>80000</v>
      </c>
      <c r="F15" s="53"/>
      <c r="G15" s="53">
        <f t="shared" si="0"/>
        <v>80000</v>
      </c>
      <c r="H15" s="170">
        <v>90145</v>
      </c>
      <c r="I15" s="69">
        <f t="shared" si="1"/>
        <v>170145</v>
      </c>
      <c r="J15" s="53">
        <f t="shared" si="2"/>
        <v>83680</v>
      </c>
      <c r="K15" s="53">
        <f t="shared" ref="K15" si="11">J15*104.6%</f>
        <v>87529.279999999999</v>
      </c>
      <c r="L15" s="53">
        <v>170145</v>
      </c>
      <c r="M15" s="53"/>
      <c r="N15" s="53">
        <f t="shared" si="5"/>
        <v>0</v>
      </c>
    </row>
    <row r="16" spans="1:14" x14ac:dyDescent="0.3">
      <c r="A16" s="52"/>
      <c r="B16" s="52"/>
      <c r="C16" s="53">
        <v>0</v>
      </c>
      <c r="D16" s="53"/>
      <c r="E16" s="53">
        <f t="shared" si="3"/>
        <v>0</v>
      </c>
      <c r="F16" s="53"/>
      <c r="G16" s="53">
        <f t="shared" si="0"/>
        <v>0</v>
      </c>
      <c r="H16" s="170"/>
      <c r="I16" s="69">
        <f t="shared" si="1"/>
        <v>0</v>
      </c>
      <c r="J16" s="53">
        <f t="shared" si="2"/>
        <v>0</v>
      </c>
      <c r="K16" s="53">
        <f t="shared" ref="K16" si="12">J16*104.6%</f>
        <v>0</v>
      </c>
      <c r="L16" s="53"/>
      <c r="M16" s="53"/>
      <c r="N16" s="53">
        <f t="shared" si="5"/>
        <v>0</v>
      </c>
    </row>
    <row r="17" spans="1:14" x14ac:dyDescent="0.3">
      <c r="A17" s="52"/>
      <c r="B17" s="51" t="s">
        <v>481</v>
      </c>
      <c r="C17" s="53">
        <v>0</v>
      </c>
      <c r="D17" s="53"/>
      <c r="E17" s="53">
        <f t="shared" si="3"/>
        <v>0</v>
      </c>
      <c r="F17" s="53"/>
      <c r="G17" s="53">
        <f t="shared" si="0"/>
        <v>0</v>
      </c>
      <c r="H17" s="170"/>
      <c r="I17" s="69">
        <f t="shared" si="1"/>
        <v>0</v>
      </c>
      <c r="J17" s="53">
        <f t="shared" si="2"/>
        <v>0</v>
      </c>
      <c r="K17" s="53">
        <f t="shared" ref="K17" si="13">J17*104.6%</f>
        <v>0</v>
      </c>
      <c r="L17" s="53"/>
      <c r="M17" s="53"/>
      <c r="N17" s="53">
        <f t="shared" si="5"/>
        <v>0</v>
      </c>
    </row>
    <row r="18" spans="1:14" x14ac:dyDescent="0.3">
      <c r="A18" s="52" t="s">
        <v>337</v>
      </c>
      <c r="B18" s="52" t="s">
        <v>498</v>
      </c>
      <c r="C18" s="53">
        <v>300000</v>
      </c>
      <c r="D18" s="53"/>
      <c r="E18" s="53">
        <f t="shared" si="3"/>
        <v>300000</v>
      </c>
      <c r="F18" s="53"/>
      <c r="G18" s="53">
        <f t="shared" si="0"/>
        <v>300000</v>
      </c>
      <c r="H18" s="170">
        <v>-72500</v>
      </c>
      <c r="I18" s="69">
        <f t="shared" si="1"/>
        <v>227500</v>
      </c>
      <c r="J18" s="53">
        <f t="shared" si="2"/>
        <v>313800</v>
      </c>
      <c r="K18" s="53">
        <f t="shared" ref="K18" si="14">J18*104.6%</f>
        <v>328234.8</v>
      </c>
      <c r="L18" s="53">
        <v>227500</v>
      </c>
      <c r="M18" s="53"/>
      <c r="N18" s="53">
        <f t="shared" si="5"/>
        <v>0</v>
      </c>
    </row>
    <row r="19" spans="1:14" x14ac:dyDescent="0.3">
      <c r="A19" s="52" t="s">
        <v>546</v>
      </c>
      <c r="B19" s="52" t="s">
        <v>543</v>
      </c>
      <c r="C19" s="53">
        <v>500000</v>
      </c>
      <c r="D19" s="53"/>
      <c r="E19" s="53">
        <f t="shared" si="3"/>
        <v>500000</v>
      </c>
      <c r="F19" s="53"/>
      <c r="G19" s="53">
        <f t="shared" si="0"/>
        <v>500000</v>
      </c>
      <c r="H19" s="170">
        <f>300000+7025</f>
        <v>307025</v>
      </c>
      <c r="I19" s="69">
        <f t="shared" si="1"/>
        <v>807025</v>
      </c>
      <c r="J19" s="53">
        <f t="shared" si="2"/>
        <v>523000</v>
      </c>
      <c r="K19" s="53">
        <f t="shared" ref="K19" si="15">J19*104.6%</f>
        <v>547058</v>
      </c>
      <c r="L19" s="53">
        <v>415438</v>
      </c>
      <c r="M19" s="53"/>
      <c r="N19" s="53">
        <f t="shared" si="5"/>
        <v>391587</v>
      </c>
    </row>
    <row r="20" spans="1:14" x14ac:dyDescent="0.3">
      <c r="A20" s="52" t="s">
        <v>545</v>
      </c>
      <c r="B20" s="52" t="s">
        <v>544</v>
      </c>
      <c r="C20" s="53">
        <v>400000</v>
      </c>
      <c r="D20" s="53"/>
      <c r="E20" s="53">
        <f t="shared" si="3"/>
        <v>400000</v>
      </c>
      <c r="F20" s="53"/>
      <c r="G20" s="53">
        <f t="shared" si="0"/>
        <v>400000</v>
      </c>
      <c r="H20" s="170"/>
      <c r="I20" s="69">
        <f t="shared" si="1"/>
        <v>400000</v>
      </c>
      <c r="J20" s="53">
        <f t="shared" si="2"/>
        <v>418400</v>
      </c>
      <c r="K20" s="53">
        <f t="shared" ref="K20" si="16">J20*104.6%</f>
        <v>437646.4</v>
      </c>
      <c r="L20" s="53">
        <v>194650</v>
      </c>
      <c r="M20" s="53"/>
      <c r="N20" s="53">
        <f t="shared" si="5"/>
        <v>205350</v>
      </c>
    </row>
    <row r="21" spans="1:14" x14ac:dyDescent="0.3">
      <c r="A21" s="52" t="s">
        <v>312</v>
      </c>
      <c r="B21" s="52" t="s">
        <v>499</v>
      </c>
      <c r="C21" s="53">
        <v>400000</v>
      </c>
      <c r="D21" s="53"/>
      <c r="E21" s="53">
        <f t="shared" si="3"/>
        <v>400000</v>
      </c>
      <c r="F21" s="53"/>
      <c r="G21" s="53">
        <f t="shared" si="0"/>
        <v>400000</v>
      </c>
      <c r="H21" s="170">
        <v>41290.879999999997</v>
      </c>
      <c r="I21" s="69">
        <f t="shared" si="1"/>
        <v>441290.88</v>
      </c>
      <c r="J21" s="53">
        <f t="shared" si="2"/>
        <v>418400</v>
      </c>
      <c r="K21" s="53">
        <f t="shared" ref="K21" si="17">J21*104.6%</f>
        <v>437646.4</v>
      </c>
      <c r="L21" s="53">
        <v>441290.88</v>
      </c>
      <c r="M21" s="53"/>
      <c r="N21" s="53">
        <f t="shared" si="5"/>
        <v>0</v>
      </c>
    </row>
    <row r="22" spans="1:14" x14ac:dyDescent="0.3">
      <c r="A22" s="52"/>
      <c r="B22" s="52"/>
      <c r="C22" s="53"/>
      <c r="D22" s="53"/>
      <c r="E22" s="53">
        <f t="shared" si="3"/>
        <v>0</v>
      </c>
      <c r="F22" s="53"/>
      <c r="G22" s="53">
        <f t="shared" si="0"/>
        <v>0</v>
      </c>
      <c r="H22" s="170"/>
      <c r="I22" s="69">
        <f t="shared" si="1"/>
        <v>0</v>
      </c>
      <c r="J22" s="53"/>
      <c r="K22" s="53"/>
      <c r="L22" s="53"/>
      <c r="M22" s="53"/>
      <c r="N22" s="53">
        <f t="shared" si="5"/>
        <v>0</v>
      </c>
    </row>
    <row r="23" spans="1:14" x14ac:dyDescent="0.3">
      <c r="A23" s="52"/>
      <c r="B23" s="51" t="s">
        <v>482</v>
      </c>
      <c r="C23" s="53">
        <v>0</v>
      </c>
      <c r="D23" s="53"/>
      <c r="E23" s="53">
        <f t="shared" si="3"/>
        <v>0</v>
      </c>
      <c r="F23" s="53"/>
      <c r="G23" s="53">
        <f t="shared" si="0"/>
        <v>0</v>
      </c>
      <c r="H23" s="170"/>
      <c r="I23" s="69">
        <f t="shared" si="1"/>
        <v>0</v>
      </c>
      <c r="J23" s="53">
        <f t="shared" ref="J23:J29" si="18">C23*104.6%</f>
        <v>0</v>
      </c>
      <c r="K23" s="53">
        <f t="shared" ref="K23" si="19">J23*104.6%</f>
        <v>0</v>
      </c>
      <c r="L23" s="53"/>
      <c r="M23" s="53"/>
      <c r="N23" s="53">
        <f t="shared" si="5"/>
        <v>0</v>
      </c>
    </row>
    <row r="24" spans="1:14" x14ac:dyDescent="0.3">
      <c r="A24" s="52" t="s">
        <v>324</v>
      </c>
      <c r="B24" s="52" t="s">
        <v>325</v>
      </c>
      <c r="C24" s="53">
        <v>50000</v>
      </c>
      <c r="D24" s="53"/>
      <c r="E24" s="53">
        <f t="shared" si="3"/>
        <v>50000</v>
      </c>
      <c r="F24" s="53"/>
      <c r="G24" s="53">
        <f t="shared" si="0"/>
        <v>50000</v>
      </c>
      <c r="H24" s="170">
        <v>-7025</v>
      </c>
      <c r="I24" s="69">
        <f t="shared" si="1"/>
        <v>42975</v>
      </c>
      <c r="J24" s="53">
        <f t="shared" si="18"/>
        <v>52300</v>
      </c>
      <c r="K24" s="53">
        <f t="shared" ref="K24" si="20">J24*104.6%</f>
        <v>54705.8</v>
      </c>
      <c r="L24" s="53">
        <v>2975</v>
      </c>
      <c r="M24" s="53"/>
      <c r="N24" s="53">
        <f t="shared" si="5"/>
        <v>40000</v>
      </c>
    </row>
    <row r="25" spans="1:14" x14ac:dyDescent="0.3">
      <c r="A25" s="52" t="s">
        <v>322</v>
      </c>
      <c r="B25" s="52" t="s">
        <v>323</v>
      </c>
      <c r="C25" s="53">
        <v>300000</v>
      </c>
      <c r="D25" s="53"/>
      <c r="E25" s="53">
        <f t="shared" si="3"/>
        <v>300000</v>
      </c>
      <c r="F25" s="53"/>
      <c r="G25" s="53">
        <f t="shared" si="0"/>
        <v>300000</v>
      </c>
      <c r="H25" s="170">
        <v>90000</v>
      </c>
      <c r="I25" s="69">
        <f t="shared" si="1"/>
        <v>390000</v>
      </c>
      <c r="J25" s="53">
        <f t="shared" si="18"/>
        <v>313800</v>
      </c>
      <c r="K25" s="53">
        <f t="shared" ref="K25" si="21">J25*104.6%</f>
        <v>328234.8</v>
      </c>
      <c r="L25" s="53">
        <v>390000</v>
      </c>
      <c r="M25" s="53"/>
      <c r="N25" s="53">
        <f t="shared" si="5"/>
        <v>0</v>
      </c>
    </row>
    <row r="26" spans="1:14" x14ac:dyDescent="0.3">
      <c r="A26" s="52" t="s">
        <v>668</v>
      </c>
      <c r="B26" s="52" t="s">
        <v>658</v>
      </c>
      <c r="C26" s="53">
        <v>100000</v>
      </c>
      <c r="D26" s="53"/>
      <c r="E26" s="53">
        <f t="shared" si="3"/>
        <v>100000</v>
      </c>
      <c r="F26" s="53"/>
      <c r="G26" s="53">
        <f t="shared" si="0"/>
        <v>100000</v>
      </c>
      <c r="H26" s="170">
        <v>-50000</v>
      </c>
      <c r="I26" s="69">
        <f t="shared" si="1"/>
        <v>50000</v>
      </c>
      <c r="J26" s="53">
        <f t="shared" si="18"/>
        <v>104600</v>
      </c>
      <c r="K26" s="53">
        <f t="shared" ref="K26" si="22">J26*104.6%</f>
        <v>109411.6</v>
      </c>
      <c r="L26" s="53"/>
      <c r="M26" s="53"/>
      <c r="N26" s="53">
        <f t="shared" si="5"/>
        <v>50000</v>
      </c>
    </row>
    <row r="27" spans="1:14" x14ac:dyDescent="0.3">
      <c r="A27" s="52" t="s">
        <v>458</v>
      </c>
      <c r="B27" s="52" t="s">
        <v>500</v>
      </c>
      <c r="C27" s="53">
        <v>300000</v>
      </c>
      <c r="D27" s="53"/>
      <c r="E27" s="53">
        <f t="shared" si="3"/>
        <v>300000</v>
      </c>
      <c r="F27" s="53"/>
      <c r="G27" s="53">
        <f t="shared" si="0"/>
        <v>300000</v>
      </c>
      <c r="H27" s="170">
        <f>100000-100000-100000</f>
        <v>-100000</v>
      </c>
      <c r="I27" s="69">
        <f t="shared" si="1"/>
        <v>200000</v>
      </c>
      <c r="J27" s="53">
        <f t="shared" si="18"/>
        <v>313800</v>
      </c>
      <c r="K27" s="53">
        <f t="shared" ref="K27:K29" si="23">J27*104.6%</f>
        <v>328234.8</v>
      </c>
      <c r="L27" s="53"/>
      <c r="M27" s="53"/>
      <c r="N27" s="53">
        <f t="shared" si="5"/>
        <v>200000</v>
      </c>
    </row>
    <row r="28" spans="1:14" x14ac:dyDescent="0.3">
      <c r="A28" s="52"/>
      <c r="B28" s="52"/>
      <c r="C28" s="53">
        <v>0</v>
      </c>
      <c r="D28" s="53"/>
      <c r="E28" s="53">
        <f t="shared" si="3"/>
        <v>0</v>
      </c>
      <c r="F28" s="53"/>
      <c r="G28" s="53">
        <f t="shared" si="0"/>
        <v>0</v>
      </c>
      <c r="H28" s="170"/>
      <c r="I28" s="69">
        <f t="shared" si="1"/>
        <v>0</v>
      </c>
      <c r="J28" s="53">
        <f t="shared" si="18"/>
        <v>0</v>
      </c>
      <c r="K28" s="53">
        <f t="shared" ref="K28" si="24">J28*104.6%</f>
        <v>0</v>
      </c>
      <c r="L28" s="53"/>
      <c r="M28" s="53"/>
      <c r="N28" s="53">
        <f t="shared" si="5"/>
        <v>0</v>
      </c>
    </row>
    <row r="29" spans="1:14" x14ac:dyDescent="0.3">
      <c r="A29" s="52" t="s">
        <v>1192</v>
      </c>
      <c r="B29" s="52" t="s">
        <v>680</v>
      </c>
      <c r="C29" s="53">
        <v>80000</v>
      </c>
      <c r="D29" s="53"/>
      <c r="E29" s="53">
        <f t="shared" si="3"/>
        <v>80000</v>
      </c>
      <c r="F29" s="53"/>
      <c r="G29" s="53">
        <f t="shared" si="0"/>
        <v>80000</v>
      </c>
      <c r="H29" s="170"/>
      <c r="I29" s="69">
        <f t="shared" si="1"/>
        <v>80000</v>
      </c>
      <c r="J29" s="53">
        <f t="shared" si="18"/>
        <v>83680</v>
      </c>
      <c r="K29" s="53">
        <f t="shared" si="23"/>
        <v>87529.279999999999</v>
      </c>
      <c r="L29" s="53">
        <v>13600</v>
      </c>
      <c r="M29" s="53">
        <v>12000</v>
      </c>
      <c r="N29" s="53">
        <f t="shared" si="5"/>
        <v>54400</v>
      </c>
    </row>
    <row r="30" spans="1:14" x14ac:dyDescent="0.3">
      <c r="A30" s="52"/>
      <c r="B30" s="52"/>
      <c r="C30" s="53"/>
      <c r="D30" s="53"/>
      <c r="E30" s="53">
        <f t="shared" si="3"/>
        <v>0</v>
      </c>
      <c r="F30" s="53"/>
      <c r="G30" s="53">
        <f t="shared" si="0"/>
        <v>0</v>
      </c>
      <c r="H30" s="170"/>
      <c r="I30" s="69">
        <f t="shared" si="1"/>
        <v>0</v>
      </c>
      <c r="J30" s="53"/>
      <c r="K30" s="53"/>
      <c r="L30" s="53"/>
      <c r="M30" s="53"/>
      <c r="N30" s="53">
        <f t="shared" si="5"/>
        <v>0</v>
      </c>
    </row>
    <row r="31" spans="1:14" x14ac:dyDescent="0.3">
      <c r="A31" s="52"/>
      <c r="B31" s="51" t="s">
        <v>483</v>
      </c>
      <c r="C31" s="53">
        <v>0</v>
      </c>
      <c r="D31" s="53"/>
      <c r="E31" s="53">
        <f t="shared" si="3"/>
        <v>0</v>
      </c>
      <c r="F31" s="53"/>
      <c r="G31" s="53">
        <f t="shared" si="0"/>
        <v>0</v>
      </c>
      <c r="H31" s="170"/>
      <c r="I31" s="69">
        <f t="shared" si="1"/>
        <v>0</v>
      </c>
      <c r="J31" s="53">
        <f>C31*104.6%</f>
        <v>0</v>
      </c>
      <c r="K31" s="53">
        <f t="shared" ref="K31" si="25">J31*104.6%</f>
        <v>0</v>
      </c>
      <c r="L31" s="53"/>
      <c r="M31" s="53"/>
      <c r="N31" s="53">
        <f t="shared" si="5"/>
        <v>0</v>
      </c>
    </row>
    <row r="32" spans="1:14" x14ac:dyDescent="0.3">
      <c r="A32" s="52" t="s">
        <v>313</v>
      </c>
      <c r="B32" s="52" t="s">
        <v>314</v>
      </c>
      <c r="C32" s="53">
        <v>50000</v>
      </c>
      <c r="D32" s="53"/>
      <c r="E32" s="53">
        <f t="shared" si="3"/>
        <v>50000</v>
      </c>
      <c r="F32" s="53"/>
      <c r="G32" s="53">
        <f t="shared" si="0"/>
        <v>50000</v>
      </c>
      <c r="H32" s="170"/>
      <c r="I32" s="69">
        <f t="shared" si="1"/>
        <v>50000</v>
      </c>
      <c r="J32" s="53">
        <f>C32*104.6%</f>
        <v>52300</v>
      </c>
      <c r="K32" s="53">
        <f t="shared" ref="K32" si="26">J32*104.6%</f>
        <v>54705.8</v>
      </c>
      <c r="L32" s="53">
        <v>24850</v>
      </c>
      <c r="M32" s="53"/>
      <c r="N32" s="53">
        <f t="shared" si="5"/>
        <v>25150</v>
      </c>
    </row>
    <row r="33" spans="1:14" x14ac:dyDescent="0.3">
      <c r="A33" s="52" t="s">
        <v>317</v>
      </c>
      <c r="B33" s="52" t="s">
        <v>318</v>
      </c>
      <c r="C33" s="53">
        <v>60000</v>
      </c>
      <c r="D33" s="53"/>
      <c r="E33" s="53">
        <f t="shared" si="3"/>
        <v>60000</v>
      </c>
      <c r="F33" s="53"/>
      <c r="G33" s="53">
        <f t="shared" si="0"/>
        <v>60000</v>
      </c>
      <c r="H33" s="170"/>
      <c r="I33" s="69">
        <f t="shared" si="1"/>
        <v>60000</v>
      </c>
      <c r="J33" s="53">
        <f>C33*104.6%</f>
        <v>62760</v>
      </c>
      <c r="K33" s="53">
        <f t="shared" ref="K33" si="27">J33*104.6%</f>
        <v>65646.960000000006</v>
      </c>
      <c r="L33" s="53">
        <v>59600</v>
      </c>
      <c r="M33" s="53"/>
      <c r="N33" s="53">
        <f t="shared" si="5"/>
        <v>400</v>
      </c>
    </row>
    <row r="34" spans="1:14" x14ac:dyDescent="0.3">
      <c r="A34" s="52" t="s">
        <v>315</v>
      </c>
      <c r="B34" s="52" t="s">
        <v>316</v>
      </c>
      <c r="C34" s="53">
        <v>60000</v>
      </c>
      <c r="D34" s="53"/>
      <c r="E34" s="53">
        <f t="shared" si="3"/>
        <v>60000</v>
      </c>
      <c r="F34" s="53"/>
      <c r="G34" s="53">
        <f t="shared" si="0"/>
        <v>60000</v>
      </c>
      <c r="H34" s="170"/>
      <c r="I34" s="69">
        <f t="shared" si="1"/>
        <v>60000</v>
      </c>
      <c r="J34" s="53">
        <f>C34*104.6%</f>
        <v>62760</v>
      </c>
      <c r="K34" s="53">
        <f t="shared" ref="K34" si="28">J34*104.6%</f>
        <v>65646.960000000006</v>
      </c>
      <c r="L34" s="53">
        <v>32900.5</v>
      </c>
      <c r="M34" s="53"/>
      <c r="N34" s="53">
        <f t="shared" si="5"/>
        <v>27099.5</v>
      </c>
    </row>
    <row r="35" spans="1:14" x14ac:dyDescent="0.3">
      <c r="A35" s="52"/>
      <c r="B35" s="52"/>
      <c r="C35" s="53"/>
      <c r="D35" s="53"/>
      <c r="E35" s="53">
        <f t="shared" si="3"/>
        <v>0</v>
      </c>
      <c r="F35" s="53"/>
      <c r="G35" s="53">
        <f t="shared" si="0"/>
        <v>0</v>
      </c>
      <c r="H35" s="170"/>
      <c r="I35" s="69">
        <f t="shared" si="1"/>
        <v>0</v>
      </c>
      <c r="J35" s="53"/>
      <c r="K35" s="53"/>
      <c r="L35" s="53"/>
      <c r="M35" s="53"/>
      <c r="N35" s="53">
        <f t="shared" si="5"/>
        <v>0</v>
      </c>
    </row>
    <row r="36" spans="1:14" x14ac:dyDescent="0.3">
      <c r="A36" s="52" t="s">
        <v>1324</v>
      </c>
      <c r="B36" s="52" t="s">
        <v>1193</v>
      </c>
      <c r="C36" s="53">
        <v>70000</v>
      </c>
      <c r="D36" s="53"/>
      <c r="E36" s="53">
        <f t="shared" si="3"/>
        <v>70000</v>
      </c>
      <c r="F36" s="53"/>
      <c r="G36" s="53">
        <f t="shared" si="0"/>
        <v>70000</v>
      </c>
      <c r="H36" s="170"/>
      <c r="I36" s="69">
        <f t="shared" si="1"/>
        <v>70000</v>
      </c>
      <c r="J36" s="53">
        <f>C36*104.6%</f>
        <v>73220</v>
      </c>
      <c r="K36" s="53">
        <f t="shared" ref="K36" si="29">J36*104.6%</f>
        <v>76588.12000000001</v>
      </c>
      <c r="L36" s="53">
        <v>30875</v>
      </c>
      <c r="M36" s="53"/>
      <c r="N36" s="53">
        <f t="shared" si="5"/>
        <v>39125</v>
      </c>
    </row>
    <row r="37" spans="1:14" x14ac:dyDescent="0.3">
      <c r="A37" s="52" t="s">
        <v>1340</v>
      </c>
      <c r="B37" s="52" t="s">
        <v>1341</v>
      </c>
      <c r="C37" s="53"/>
      <c r="D37" s="53"/>
      <c r="E37" s="53">
        <f t="shared" si="3"/>
        <v>0</v>
      </c>
      <c r="F37" s="53"/>
      <c r="G37" s="53">
        <f t="shared" si="0"/>
        <v>0</v>
      </c>
      <c r="H37" s="170">
        <v>5950</v>
      </c>
      <c r="I37" s="69">
        <f t="shared" si="1"/>
        <v>5950</v>
      </c>
      <c r="J37" s="53"/>
      <c r="K37" s="53"/>
      <c r="L37" s="53">
        <v>950</v>
      </c>
      <c r="M37" s="53"/>
      <c r="N37" s="53">
        <f t="shared" si="5"/>
        <v>5000</v>
      </c>
    </row>
    <row r="38" spans="1:14" x14ac:dyDescent="0.3">
      <c r="A38" s="52" t="s">
        <v>338</v>
      </c>
      <c r="B38" s="52" t="s">
        <v>50</v>
      </c>
      <c r="C38" s="53">
        <v>45519.232980787492</v>
      </c>
      <c r="D38" s="53"/>
      <c r="E38" s="53">
        <f t="shared" si="3"/>
        <v>45519.232980787492</v>
      </c>
      <c r="F38" s="53"/>
      <c r="G38" s="53">
        <f t="shared" si="0"/>
        <v>45519.232980787492</v>
      </c>
      <c r="H38" s="170"/>
      <c r="I38" s="69">
        <f t="shared" si="1"/>
        <v>45519.232980787492</v>
      </c>
      <c r="J38" s="53">
        <f>C38*104.6%</f>
        <v>47613.117697903719</v>
      </c>
      <c r="K38" s="53">
        <f t="shared" ref="K38" si="30">J38*104.6%</f>
        <v>49803.321112007296</v>
      </c>
      <c r="L38" s="53">
        <v>22908.38</v>
      </c>
      <c r="M38" s="53"/>
      <c r="N38" s="53">
        <f t="shared" si="5"/>
        <v>22610.852980787491</v>
      </c>
    </row>
    <row r="39" spans="1:14" x14ac:dyDescent="0.3">
      <c r="A39" s="52" t="s">
        <v>1342</v>
      </c>
      <c r="B39" s="52" t="s">
        <v>44</v>
      </c>
      <c r="C39" s="53"/>
      <c r="D39" s="53"/>
      <c r="E39" s="53">
        <v>0</v>
      </c>
      <c r="F39" s="53"/>
      <c r="G39" s="53"/>
      <c r="H39" s="170">
        <v>11292.63</v>
      </c>
      <c r="I39" s="69">
        <f t="shared" si="1"/>
        <v>11292.63</v>
      </c>
      <c r="J39" s="53"/>
      <c r="K39" s="53"/>
      <c r="L39" s="53">
        <v>3292.63</v>
      </c>
      <c r="M39" s="53"/>
      <c r="N39" s="53">
        <f t="shared" si="5"/>
        <v>7999.9999999999991</v>
      </c>
    </row>
    <row r="40" spans="1:14" x14ac:dyDescent="0.3">
      <c r="A40" s="52" t="s">
        <v>1343</v>
      </c>
      <c r="B40" s="52" t="s">
        <v>46</v>
      </c>
      <c r="C40" s="53"/>
      <c r="D40" s="53"/>
      <c r="E40" s="53"/>
      <c r="F40" s="53"/>
      <c r="G40" s="53"/>
      <c r="H40" s="170">
        <v>15000</v>
      </c>
      <c r="I40" s="69">
        <f t="shared" si="1"/>
        <v>15000</v>
      </c>
      <c r="J40" s="53"/>
      <c r="K40" s="53"/>
      <c r="L40" s="53">
        <v>11130.22</v>
      </c>
      <c r="M40" s="53"/>
      <c r="N40" s="53">
        <f t="shared" si="5"/>
        <v>3869.7800000000007</v>
      </c>
    </row>
    <row r="41" spans="1:14" x14ac:dyDescent="0.3">
      <c r="A41" s="52" t="s">
        <v>1357</v>
      </c>
      <c r="B41" s="52" t="s">
        <v>236</v>
      </c>
      <c r="C41" s="53"/>
      <c r="D41" s="53"/>
      <c r="E41" s="53"/>
      <c r="F41" s="53"/>
      <c r="G41" s="53"/>
      <c r="H41" s="170">
        <v>16000</v>
      </c>
      <c r="I41" s="69">
        <f t="shared" si="1"/>
        <v>16000</v>
      </c>
      <c r="J41" s="53"/>
      <c r="K41" s="53"/>
      <c r="L41" s="53"/>
      <c r="M41" s="53"/>
      <c r="N41" s="53">
        <f t="shared" si="5"/>
        <v>16000</v>
      </c>
    </row>
    <row r="42" spans="1:14" x14ac:dyDescent="0.3">
      <c r="A42" s="52" t="s">
        <v>1356</v>
      </c>
      <c r="B42" s="52" t="s">
        <v>1348</v>
      </c>
      <c r="C42" s="53"/>
      <c r="D42" s="53"/>
      <c r="E42" s="53"/>
      <c r="F42" s="53"/>
      <c r="G42" s="53"/>
      <c r="H42" s="170">
        <v>10000</v>
      </c>
      <c r="I42" s="69">
        <f t="shared" si="1"/>
        <v>10000</v>
      </c>
      <c r="J42" s="53"/>
      <c r="K42" s="53"/>
      <c r="L42" s="53"/>
      <c r="M42" s="53"/>
      <c r="N42" s="53">
        <f t="shared" si="5"/>
        <v>10000</v>
      </c>
    </row>
    <row r="43" spans="1:14" x14ac:dyDescent="0.3">
      <c r="A43" s="52"/>
      <c r="B43" s="52"/>
      <c r="C43" s="53"/>
      <c r="D43" s="53"/>
      <c r="E43" s="53"/>
      <c r="F43" s="53"/>
      <c r="G43" s="53"/>
      <c r="H43" s="170"/>
      <c r="I43" s="69"/>
      <c r="J43" s="53"/>
      <c r="K43" s="53"/>
      <c r="L43" s="53"/>
      <c r="M43" s="53"/>
      <c r="N43" s="53">
        <f t="shared" si="5"/>
        <v>0</v>
      </c>
    </row>
    <row r="44" spans="1:14" x14ac:dyDescent="0.3">
      <c r="A44" s="52"/>
      <c r="B44" s="51" t="s">
        <v>484</v>
      </c>
      <c r="C44" s="53">
        <v>0</v>
      </c>
      <c r="D44" s="53"/>
      <c r="E44" s="53">
        <f t="shared" si="3"/>
        <v>0</v>
      </c>
      <c r="F44" s="53"/>
      <c r="G44" s="53">
        <f t="shared" si="0"/>
        <v>0</v>
      </c>
      <c r="H44" s="170"/>
      <c r="I44" s="69">
        <f t="shared" ref="I44:I61" si="31">G44+H44</f>
        <v>0</v>
      </c>
      <c r="J44" s="53">
        <f t="shared" ref="J44:J49" si="32">C44*104.6%</f>
        <v>0</v>
      </c>
      <c r="K44" s="53">
        <f t="shared" ref="K44" si="33">J44*104.6%</f>
        <v>0</v>
      </c>
      <c r="L44" s="53"/>
      <c r="M44" s="53"/>
      <c r="N44" s="53">
        <f t="shared" si="5"/>
        <v>0</v>
      </c>
    </row>
    <row r="45" spans="1:14" x14ac:dyDescent="0.3">
      <c r="A45" s="52" t="s">
        <v>657</v>
      </c>
      <c r="B45" s="52" t="s">
        <v>319</v>
      </c>
      <c r="C45" s="53">
        <v>60000</v>
      </c>
      <c r="D45" s="53"/>
      <c r="E45" s="53">
        <f t="shared" si="3"/>
        <v>60000</v>
      </c>
      <c r="F45" s="53"/>
      <c r="G45" s="53">
        <f t="shared" si="0"/>
        <v>60000</v>
      </c>
      <c r="H45" s="170"/>
      <c r="I45" s="69">
        <f t="shared" si="31"/>
        <v>60000</v>
      </c>
      <c r="J45" s="53">
        <f t="shared" si="32"/>
        <v>62760</v>
      </c>
      <c r="K45" s="53">
        <f t="shared" ref="K45" si="34">J45*104.6%</f>
        <v>65646.960000000006</v>
      </c>
      <c r="L45" s="53">
        <v>22700</v>
      </c>
      <c r="M45" s="53"/>
      <c r="N45" s="53">
        <f t="shared" si="5"/>
        <v>37300</v>
      </c>
    </row>
    <row r="46" spans="1:14" x14ac:dyDescent="0.3">
      <c r="A46" s="52" t="s">
        <v>326</v>
      </c>
      <c r="B46" s="52" t="s">
        <v>501</v>
      </c>
      <c r="C46" s="53">
        <v>200000</v>
      </c>
      <c r="D46" s="53"/>
      <c r="E46" s="53">
        <f t="shared" si="3"/>
        <v>200000</v>
      </c>
      <c r="F46" s="53"/>
      <c r="G46" s="53">
        <f t="shared" si="0"/>
        <v>200000</v>
      </c>
      <c r="H46" s="170">
        <v>-120000</v>
      </c>
      <c r="I46" s="69">
        <f t="shared" si="31"/>
        <v>80000</v>
      </c>
      <c r="J46" s="53">
        <f t="shared" si="32"/>
        <v>209200</v>
      </c>
      <c r="K46" s="53">
        <f t="shared" ref="K46" si="35">J46*104.6%</f>
        <v>218823.2</v>
      </c>
      <c r="L46" s="53">
        <v>0</v>
      </c>
      <c r="M46" s="53"/>
      <c r="N46" s="53">
        <f t="shared" si="5"/>
        <v>80000</v>
      </c>
    </row>
    <row r="47" spans="1:14" x14ac:dyDescent="0.3">
      <c r="A47" s="52" t="s">
        <v>330</v>
      </c>
      <c r="B47" s="52" t="s">
        <v>331</v>
      </c>
      <c r="C47" s="53">
        <v>50000</v>
      </c>
      <c r="D47" s="53"/>
      <c r="E47" s="53">
        <f t="shared" si="3"/>
        <v>50000</v>
      </c>
      <c r="F47" s="53"/>
      <c r="G47" s="53">
        <f t="shared" si="0"/>
        <v>50000</v>
      </c>
      <c r="H47" s="170"/>
      <c r="I47" s="69">
        <f t="shared" si="31"/>
        <v>50000</v>
      </c>
      <c r="J47" s="53">
        <f t="shared" si="32"/>
        <v>52300</v>
      </c>
      <c r="K47" s="53">
        <f t="shared" ref="K47" si="36">J47*104.6%</f>
        <v>54705.8</v>
      </c>
      <c r="L47" s="53">
        <v>34800</v>
      </c>
      <c r="M47" s="53"/>
      <c r="N47" s="53">
        <f t="shared" si="5"/>
        <v>15200</v>
      </c>
    </row>
    <row r="48" spans="1:14" x14ac:dyDescent="0.3">
      <c r="A48" s="52" t="s">
        <v>320</v>
      </c>
      <c r="B48" s="166" t="s">
        <v>321</v>
      </c>
      <c r="C48" s="53">
        <v>280000</v>
      </c>
      <c r="D48" s="53"/>
      <c r="E48" s="53">
        <f t="shared" si="3"/>
        <v>280000</v>
      </c>
      <c r="F48" s="53"/>
      <c r="G48" s="53">
        <f t="shared" si="0"/>
        <v>280000</v>
      </c>
      <c r="H48" s="170">
        <f>-80000+100000+100000</f>
        <v>120000</v>
      </c>
      <c r="I48" s="69">
        <f t="shared" si="31"/>
        <v>400000</v>
      </c>
      <c r="J48" s="53">
        <f t="shared" si="32"/>
        <v>292880</v>
      </c>
      <c r="K48" s="53">
        <f t="shared" ref="K48" si="37">J48*104.6%</f>
        <v>306352.48000000004</v>
      </c>
      <c r="L48" s="53">
        <v>0</v>
      </c>
      <c r="M48" s="53"/>
      <c r="N48" s="53">
        <f t="shared" si="5"/>
        <v>400000</v>
      </c>
    </row>
    <row r="49" spans="1:15" x14ac:dyDescent="0.3">
      <c r="A49" s="52" t="s">
        <v>328</v>
      </c>
      <c r="B49" s="52" t="s">
        <v>329</v>
      </c>
      <c r="C49" s="53">
        <v>200000</v>
      </c>
      <c r="D49" s="53"/>
      <c r="E49" s="53">
        <f t="shared" si="3"/>
        <v>200000</v>
      </c>
      <c r="F49" s="53"/>
      <c r="G49" s="53">
        <f t="shared" si="0"/>
        <v>200000</v>
      </c>
      <c r="H49" s="170">
        <v>-100000</v>
      </c>
      <c r="I49" s="69">
        <f t="shared" si="31"/>
        <v>100000</v>
      </c>
      <c r="J49" s="53">
        <f t="shared" si="32"/>
        <v>209200</v>
      </c>
      <c r="K49" s="53">
        <f t="shared" ref="K49" si="38">J49*104.6%</f>
        <v>218823.2</v>
      </c>
      <c r="L49" s="53">
        <v>28000</v>
      </c>
      <c r="M49" s="53"/>
      <c r="N49" s="53">
        <f t="shared" si="5"/>
        <v>72000</v>
      </c>
    </row>
    <row r="50" spans="1:15" x14ac:dyDescent="0.3">
      <c r="A50" s="52"/>
      <c r="B50" s="52"/>
      <c r="C50" s="53"/>
      <c r="D50" s="53"/>
      <c r="E50" s="53">
        <f t="shared" si="3"/>
        <v>0</v>
      </c>
      <c r="F50" s="53"/>
      <c r="G50" s="53">
        <f t="shared" si="0"/>
        <v>0</v>
      </c>
      <c r="H50" s="170"/>
      <c r="I50" s="69">
        <f t="shared" si="31"/>
        <v>0</v>
      </c>
      <c r="J50" s="53"/>
      <c r="K50" s="53"/>
      <c r="L50" s="53"/>
      <c r="M50" s="53"/>
      <c r="N50" s="53">
        <f t="shared" si="5"/>
        <v>0</v>
      </c>
    </row>
    <row r="51" spans="1:15" x14ac:dyDescent="0.3">
      <c r="A51" s="52"/>
      <c r="B51" s="52"/>
      <c r="C51" s="53">
        <v>0</v>
      </c>
      <c r="D51" s="53"/>
      <c r="E51" s="53">
        <f t="shared" si="3"/>
        <v>0</v>
      </c>
      <c r="F51" s="53"/>
      <c r="G51" s="53">
        <f t="shared" si="0"/>
        <v>0</v>
      </c>
      <c r="H51" s="170"/>
      <c r="I51" s="69">
        <f t="shared" si="31"/>
        <v>0</v>
      </c>
      <c r="J51" s="53">
        <f t="shared" ref="J51:J59" si="39">C51*104.6%</f>
        <v>0</v>
      </c>
      <c r="K51" s="53">
        <f t="shared" ref="K51" si="40">J51*104.6%</f>
        <v>0</v>
      </c>
      <c r="L51" s="53"/>
      <c r="M51" s="53"/>
      <c r="N51" s="53">
        <f t="shared" si="5"/>
        <v>0</v>
      </c>
    </row>
    <row r="52" spans="1:15" x14ac:dyDescent="0.3">
      <c r="A52" s="52"/>
      <c r="B52" s="51" t="s">
        <v>485</v>
      </c>
      <c r="C52" s="53">
        <v>0</v>
      </c>
      <c r="D52" s="53"/>
      <c r="E52" s="53">
        <f t="shared" si="3"/>
        <v>0</v>
      </c>
      <c r="F52" s="53"/>
      <c r="G52" s="53">
        <f t="shared" si="0"/>
        <v>0</v>
      </c>
      <c r="H52" s="170"/>
      <c r="I52" s="69">
        <f t="shared" si="31"/>
        <v>0</v>
      </c>
      <c r="J52" s="53">
        <f t="shared" si="39"/>
        <v>0</v>
      </c>
      <c r="K52" s="53">
        <f t="shared" ref="K52" si="41">J52*104.6%</f>
        <v>0</v>
      </c>
      <c r="L52" s="53"/>
      <c r="M52" s="53"/>
      <c r="N52" s="53">
        <f t="shared" si="5"/>
        <v>0</v>
      </c>
    </row>
    <row r="53" spans="1:15" x14ac:dyDescent="0.3">
      <c r="A53" s="52" t="s">
        <v>339</v>
      </c>
      <c r="B53" s="52" t="s">
        <v>340</v>
      </c>
      <c r="C53" s="53">
        <v>150000</v>
      </c>
      <c r="D53" s="53"/>
      <c r="E53" s="53">
        <f t="shared" si="3"/>
        <v>150000</v>
      </c>
      <c r="F53" s="53"/>
      <c r="G53" s="53">
        <f t="shared" si="0"/>
        <v>150000</v>
      </c>
      <c r="H53" s="170">
        <v>-150000</v>
      </c>
      <c r="I53" s="69">
        <f t="shared" si="31"/>
        <v>0</v>
      </c>
      <c r="J53" s="53">
        <f t="shared" si="39"/>
        <v>156900</v>
      </c>
      <c r="K53" s="53">
        <f t="shared" ref="K53" si="42">J53*104.6%</f>
        <v>164117.4</v>
      </c>
      <c r="L53" s="53"/>
      <c r="M53" s="53"/>
      <c r="N53" s="53">
        <f t="shared" si="5"/>
        <v>0</v>
      </c>
    </row>
    <row r="54" spans="1:15" x14ac:dyDescent="0.3">
      <c r="A54" s="52" t="s">
        <v>333</v>
      </c>
      <c r="B54" s="52" t="s">
        <v>334</v>
      </c>
      <c r="C54" s="53">
        <v>30000</v>
      </c>
      <c r="D54" s="53"/>
      <c r="E54" s="53">
        <f t="shared" si="3"/>
        <v>30000</v>
      </c>
      <c r="F54" s="53"/>
      <c r="G54" s="53">
        <f t="shared" si="0"/>
        <v>30000</v>
      </c>
      <c r="H54" s="170"/>
      <c r="I54" s="69">
        <f t="shared" si="31"/>
        <v>30000</v>
      </c>
      <c r="J54" s="53">
        <f t="shared" si="39"/>
        <v>31380</v>
      </c>
      <c r="K54" s="53">
        <f t="shared" ref="K54" si="43">J54*104.6%</f>
        <v>32823.480000000003</v>
      </c>
      <c r="L54" s="53"/>
      <c r="M54" s="53"/>
      <c r="N54" s="53">
        <f t="shared" si="5"/>
        <v>30000</v>
      </c>
    </row>
    <row r="55" spans="1:15" x14ac:dyDescent="0.3">
      <c r="A55" s="52" t="s">
        <v>1204</v>
      </c>
      <c r="B55" s="52" t="s">
        <v>332</v>
      </c>
      <c r="C55" s="53">
        <v>60000</v>
      </c>
      <c r="D55" s="53"/>
      <c r="E55" s="53">
        <f t="shared" si="3"/>
        <v>60000</v>
      </c>
      <c r="F55" s="53"/>
      <c r="G55" s="53">
        <f t="shared" si="0"/>
        <v>60000</v>
      </c>
      <c r="H55" s="170">
        <v>-30000</v>
      </c>
      <c r="I55" s="69">
        <f t="shared" si="31"/>
        <v>30000</v>
      </c>
      <c r="J55" s="53">
        <f t="shared" si="39"/>
        <v>62760</v>
      </c>
      <c r="K55" s="53">
        <f t="shared" ref="K55" si="44">J55*104.6%</f>
        <v>65646.960000000006</v>
      </c>
      <c r="L55" s="53"/>
      <c r="M55" s="53"/>
      <c r="N55" s="53">
        <f t="shared" si="5"/>
        <v>30000</v>
      </c>
    </row>
    <row r="56" spans="1:15" x14ac:dyDescent="0.3">
      <c r="A56" s="52" t="s">
        <v>341</v>
      </c>
      <c r="B56" s="52" t="s">
        <v>342</v>
      </c>
      <c r="C56" s="53">
        <v>60000</v>
      </c>
      <c r="D56" s="53"/>
      <c r="E56" s="53">
        <f t="shared" si="3"/>
        <v>60000</v>
      </c>
      <c r="F56" s="53"/>
      <c r="G56" s="53">
        <f t="shared" si="0"/>
        <v>60000</v>
      </c>
      <c r="H56" s="170">
        <v>100000</v>
      </c>
      <c r="I56" s="69">
        <f t="shared" si="31"/>
        <v>160000</v>
      </c>
      <c r="J56" s="53">
        <f t="shared" si="39"/>
        <v>62760</v>
      </c>
      <c r="K56" s="53">
        <f t="shared" ref="K56" si="45">J56*104.6%</f>
        <v>65646.960000000006</v>
      </c>
      <c r="L56" s="53">
        <v>58900</v>
      </c>
      <c r="M56" s="53"/>
      <c r="N56" s="53">
        <f t="shared" si="5"/>
        <v>101100</v>
      </c>
    </row>
    <row r="57" spans="1:15" x14ac:dyDescent="0.3">
      <c r="A57" s="52" t="s">
        <v>335</v>
      </c>
      <c r="B57" s="52" t="s">
        <v>336</v>
      </c>
      <c r="C57" s="53">
        <v>100000</v>
      </c>
      <c r="D57" s="53"/>
      <c r="E57" s="53">
        <f t="shared" si="3"/>
        <v>100000</v>
      </c>
      <c r="F57" s="53"/>
      <c r="G57" s="53">
        <f t="shared" si="0"/>
        <v>100000</v>
      </c>
      <c r="H57" s="170">
        <v>-50000</v>
      </c>
      <c r="I57" s="69">
        <f t="shared" si="31"/>
        <v>50000</v>
      </c>
      <c r="J57" s="53">
        <f t="shared" si="39"/>
        <v>104600</v>
      </c>
      <c r="K57" s="53">
        <f t="shared" ref="K57" si="46">J57*104.6%</f>
        <v>109411.6</v>
      </c>
      <c r="L57" s="53"/>
      <c r="M57" s="53">
        <v>48000</v>
      </c>
      <c r="N57" s="53">
        <f t="shared" si="5"/>
        <v>2000</v>
      </c>
    </row>
    <row r="58" spans="1:15" x14ac:dyDescent="0.3">
      <c r="A58" s="52"/>
      <c r="B58" s="52"/>
      <c r="C58" s="53">
        <v>0</v>
      </c>
      <c r="D58" s="53"/>
      <c r="E58" s="53">
        <f t="shared" si="3"/>
        <v>0</v>
      </c>
      <c r="F58" s="53"/>
      <c r="G58" s="53">
        <f t="shared" si="0"/>
        <v>0</v>
      </c>
      <c r="H58" s="170"/>
      <c r="I58" s="69">
        <f t="shared" si="31"/>
        <v>0</v>
      </c>
      <c r="J58" s="53">
        <f t="shared" si="39"/>
        <v>0</v>
      </c>
      <c r="K58" s="53">
        <f t="shared" ref="K58" si="47">J58*104.6%</f>
        <v>0</v>
      </c>
      <c r="L58" s="53"/>
      <c r="M58" s="53"/>
      <c r="N58" s="53">
        <f t="shared" si="5"/>
        <v>0</v>
      </c>
    </row>
    <row r="59" spans="1:15" x14ac:dyDescent="0.3">
      <c r="A59" s="52" t="s">
        <v>666</v>
      </c>
      <c r="B59" s="52" t="s">
        <v>667</v>
      </c>
      <c r="C59" s="53">
        <v>0</v>
      </c>
      <c r="D59" s="53"/>
      <c r="E59" s="53">
        <f t="shared" si="3"/>
        <v>0</v>
      </c>
      <c r="F59" s="53"/>
      <c r="G59" s="53">
        <f t="shared" si="0"/>
        <v>0</v>
      </c>
      <c r="H59" s="170"/>
      <c r="I59" s="69">
        <f t="shared" si="31"/>
        <v>0</v>
      </c>
      <c r="J59" s="53">
        <f t="shared" si="39"/>
        <v>0</v>
      </c>
      <c r="K59" s="53">
        <f t="shared" ref="K59" si="48">J59*104.6%</f>
        <v>0</v>
      </c>
      <c r="L59" s="53"/>
      <c r="M59" s="53"/>
      <c r="N59" s="53">
        <f t="shared" si="5"/>
        <v>0</v>
      </c>
    </row>
    <row r="60" spans="1:15" x14ac:dyDescent="0.3">
      <c r="A60" s="52"/>
      <c r="B60" s="52"/>
      <c r="C60" s="53"/>
      <c r="D60" s="53"/>
      <c r="E60" s="53"/>
      <c r="F60" s="53"/>
      <c r="G60" s="53"/>
      <c r="H60" s="170"/>
      <c r="I60" s="69">
        <f t="shared" si="31"/>
        <v>0</v>
      </c>
      <c r="J60" s="53"/>
      <c r="K60" s="53"/>
      <c r="L60" s="53"/>
      <c r="M60" s="53"/>
      <c r="N60" s="53">
        <f t="shared" si="5"/>
        <v>0</v>
      </c>
    </row>
    <row r="61" spans="1:15" ht="13.5" thickBot="1" x14ac:dyDescent="0.35">
      <c r="A61" s="52" t="s">
        <v>1304</v>
      </c>
      <c r="B61" s="52" t="s">
        <v>1305</v>
      </c>
      <c r="C61" s="53"/>
      <c r="D61" s="53"/>
      <c r="E61" s="53"/>
      <c r="F61" s="53">
        <v>3000000</v>
      </c>
      <c r="G61" s="114">
        <f t="shared" si="0"/>
        <v>3000000</v>
      </c>
      <c r="H61" s="173"/>
      <c r="I61" s="69">
        <f t="shared" si="31"/>
        <v>3000000</v>
      </c>
      <c r="J61" s="53"/>
      <c r="K61" s="53"/>
      <c r="L61" s="53"/>
      <c r="M61" s="53"/>
      <c r="N61" s="53">
        <f t="shared" si="5"/>
        <v>3000000</v>
      </c>
    </row>
    <row r="62" spans="1:15" s="77" customFormat="1" ht="13.5" thickBot="1" x14ac:dyDescent="0.35">
      <c r="A62" s="57" t="s">
        <v>678</v>
      </c>
      <c r="B62" s="57"/>
      <c r="C62" s="59">
        <f>SUM(C8:C59)</f>
        <v>6165519.2329807878</v>
      </c>
      <c r="D62" s="59"/>
      <c r="E62" s="59">
        <f t="shared" ref="E62:N62" si="49">SUM(E8:E61)</f>
        <v>6165519.2329807878</v>
      </c>
      <c r="F62" s="59">
        <f t="shared" si="49"/>
        <v>3000000</v>
      </c>
      <c r="G62" s="59">
        <f t="shared" si="49"/>
        <v>9165519.2329807878</v>
      </c>
      <c r="H62" s="171">
        <f t="shared" si="49"/>
        <v>-1828311.4900000002</v>
      </c>
      <c r="I62" s="59">
        <f t="shared" si="49"/>
        <v>7337207.7429807875</v>
      </c>
      <c r="J62" s="59">
        <f t="shared" si="49"/>
        <v>6449133.1176979039</v>
      </c>
      <c r="K62" s="59">
        <f t="shared" si="49"/>
        <v>6745793.2411120068</v>
      </c>
      <c r="L62" s="59">
        <f t="shared" si="49"/>
        <v>2411015.61</v>
      </c>
      <c r="M62" s="59">
        <f t="shared" si="49"/>
        <v>60000</v>
      </c>
      <c r="N62" s="59">
        <f t="shared" si="49"/>
        <v>4866192.1329807872</v>
      </c>
      <c r="O62" s="76"/>
    </row>
    <row r="63" spans="1:15" ht="13.5" thickTop="1" x14ac:dyDescent="0.3">
      <c r="A63" s="61"/>
      <c r="B63" s="61"/>
      <c r="C63" s="53">
        <v>0</v>
      </c>
      <c r="D63" s="62"/>
      <c r="E63" s="62">
        <f t="shared" si="3"/>
        <v>0</v>
      </c>
      <c r="F63" s="62"/>
      <c r="G63" s="53">
        <f t="shared" si="0"/>
        <v>0</v>
      </c>
      <c r="H63" s="172"/>
      <c r="I63" s="62"/>
      <c r="J63" s="62"/>
      <c r="K63" s="62"/>
      <c r="L63" s="53"/>
      <c r="M63" s="53"/>
      <c r="N63" s="52"/>
    </row>
    <row r="64" spans="1:15" x14ac:dyDescent="0.3">
      <c r="A64" s="51" t="s">
        <v>398</v>
      </c>
      <c r="B64" s="52"/>
      <c r="C64" s="53">
        <v>0</v>
      </c>
      <c r="D64" s="53"/>
      <c r="E64" s="53">
        <f t="shared" si="3"/>
        <v>0</v>
      </c>
      <c r="F64" s="53"/>
      <c r="G64" s="53">
        <f t="shared" si="0"/>
        <v>0</v>
      </c>
      <c r="H64" s="170"/>
      <c r="I64" s="53"/>
      <c r="J64" s="53"/>
      <c r="K64" s="53"/>
      <c r="L64" s="53"/>
      <c r="M64" s="53"/>
      <c r="N64" s="52"/>
    </row>
    <row r="65" spans="1:14" x14ac:dyDescent="0.3">
      <c r="A65" s="52" t="s">
        <v>343</v>
      </c>
      <c r="B65" s="52" t="s">
        <v>57</v>
      </c>
      <c r="C65" s="53">
        <v>3878263.7130787503</v>
      </c>
      <c r="D65" s="53"/>
      <c r="E65" s="53">
        <f t="shared" si="3"/>
        <v>3878263.7130787503</v>
      </c>
      <c r="F65" s="53"/>
      <c r="G65" s="53">
        <f t="shared" si="0"/>
        <v>3878263.7130787503</v>
      </c>
      <c r="H65" s="170">
        <v>-56945.094552500173</v>
      </c>
      <c r="I65" s="69">
        <f t="shared" ref="I65:I80" si="50">G65+H65</f>
        <v>3821318.6185262501</v>
      </c>
      <c r="J65" s="53">
        <f t="shared" ref="J65:J80" si="51">C65*105.4%</f>
        <v>4087689.953585003</v>
      </c>
      <c r="K65" s="53">
        <f t="shared" ref="K65:K80" si="52">J65*106.5%</f>
        <v>4353389.8005680284</v>
      </c>
      <c r="L65" s="53">
        <v>2079710.0899999999</v>
      </c>
      <c r="M65" s="53"/>
      <c r="N65" s="53">
        <f t="shared" ref="N65:N80" si="53">I65-L65-M65</f>
        <v>1741608.5285262503</v>
      </c>
    </row>
    <row r="66" spans="1:14" x14ac:dyDescent="0.3">
      <c r="A66" s="52" t="s">
        <v>344</v>
      </c>
      <c r="B66" s="52" t="s">
        <v>58</v>
      </c>
      <c r="C66" s="53">
        <v>247583.70750000008</v>
      </c>
      <c r="D66" s="53"/>
      <c r="E66" s="53">
        <f t="shared" si="3"/>
        <v>247583.70750000008</v>
      </c>
      <c r="F66" s="53"/>
      <c r="G66" s="53">
        <f t="shared" si="0"/>
        <v>247583.70750000008</v>
      </c>
      <c r="H66" s="170">
        <v>3849.5031249999302</v>
      </c>
      <c r="I66" s="69">
        <f t="shared" si="50"/>
        <v>251433.21062500001</v>
      </c>
      <c r="J66" s="53">
        <f t="shared" si="51"/>
        <v>260953.22770500008</v>
      </c>
      <c r="K66" s="53">
        <f t="shared" si="52"/>
        <v>277915.18750582507</v>
      </c>
      <c r="L66" s="53">
        <v>251433.21</v>
      </c>
      <c r="M66" s="53"/>
      <c r="N66" s="53">
        <f t="shared" si="53"/>
        <v>6.2500001513399184E-4</v>
      </c>
    </row>
    <row r="67" spans="1:14" x14ac:dyDescent="0.3">
      <c r="A67" s="52" t="s">
        <v>345</v>
      </c>
      <c r="B67" s="52" t="s">
        <v>59</v>
      </c>
      <c r="C67" s="53">
        <v>2430.2399999999998</v>
      </c>
      <c r="D67" s="53"/>
      <c r="E67" s="53">
        <f t="shared" si="3"/>
        <v>2430.2399999999998</v>
      </c>
      <c r="F67" s="53"/>
      <c r="G67" s="53">
        <f t="shared" si="0"/>
        <v>2430.2399999999998</v>
      </c>
      <c r="H67" s="170">
        <v>-1088.1599999999999</v>
      </c>
      <c r="I67" s="69">
        <f t="shared" si="50"/>
        <v>1342.08</v>
      </c>
      <c r="J67" s="53">
        <f t="shared" si="51"/>
        <v>2561.4729600000001</v>
      </c>
      <c r="K67" s="53">
        <f t="shared" si="52"/>
        <v>2727.9687024</v>
      </c>
      <c r="L67" s="53">
        <v>762.3</v>
      </c>
      <c r="M67" s="53"/>
      <c r="N67" s="53">
        <f t="shared" si="53"/>
        <v>579.78</v>
      </c>
    </row>
    <row r="68" spans="1:14" x14ac:dyDescent="0.3">
      <c r="A68" s="52" t="s">
        <v>346</v>
      </c>
      <c r="B68" s="52" t="s">
        <v>60</v>
      </c>
      <c r="C68" s="53">
        <v>299386.8</v>
      </c>
      <c r="D68" s="53"/>
      <c r="E68" s="53">
        <f t="shared" si="3"/>
        <v>299386.8</v>
      </c>
      <c r="F68" s="53"/>
      <c r="G68" s="53">
        <f t="shared" si="0"/>
        <v>299386.8</v>
      </c>
      <c r="H68" s="170">
        <v>31744.440000000002</v>
      </c>
      <c r="I68" s="69">
        <f t="shared" si="50"/>
        <v>331131.24</v>
      </c>
      <c r="J68" s="53">
        <f t="shared" si="51"/>
        <v>315553.68719999999</v>
      </c>
      <c r="K68" s="53">
        <f t="shared" si="52"/>
        <v>336064.67686799995</v>
      </c>
      <c r="L68" s="53">
        <v>186786.12</v>
      </c>
      <c r="M68" s="53"/>
      <c r="N68" s="53">
        <f t="shared" si="53"/>
        <v>144345.12</v>
      </c>
    </row>
    <row r="69" spans="1:14" x14ac:dyDescent="0.3">
      <c r="A69" s="52" t="s">
        <v>347</v>
      </c>
      <c r="B69" s="52" t="s">
        <v>123</v>
      </c>
      <c r="C69" s="53">
        <v>631526.01400417497</v>
      </c>
      <c r="D69" s="53"/>
      <c r="E69" s="53">
        <f t="shared" si="3"/>
        <v>631526.01400417497</v>
      </c>
      <c r="F69" s="53"/>
      <c r="G69" s="53">
        <f t="shared" si="0"/>
        <v>631526.01400417497</v>
      </c>
      <c r="H69" s="170">
        <v>-19002.410000700038</v>
      </c>
      <c r="I69" s="69">
        <f t="shared" si="50"/>
        <v>612523.60400347493</v>
      </c>
      <c r="J69" s="53">
        <f t="shared" si="51"/>
        <v>665628.4187604005</v>
      </c>
      <c r="K69" s="53">
        <f t="shared" si="52"/>
        <v>708894.26597982645</v>
      </c>
      <c r="L69" s="53">
        <v>349137.62</v>
      </c>
      <c r="M69" s="53"/>
      <c r="N69" s="53">
        <f t="shared" si="53"/>
        <v>263385.98400347494</v>
      </c>
    </row>
    <row r="70" spans="1:14" x14ac:dyDescent="0.3">
      <c r="A70" s="52" t="s">
        <v>348</v>
      </c>
      <c r="B70" s="52" t="s">
        <v>349</v>
      </c>
      <c r="C70" s="53">
        <v>20831.039999999997</v>
      </c>
      <c r="D70" s="53"/>
      <c r="E70" s="53">
        <f t="shared" si="3"/>
        <v>20831.039999999997</v>
      </c>
      <c r="F70" s="53"/>
      <c r="G70" s="53">
        <f t="shared" si="0"/>
        <v>20831.039999999997</v>
      </c>
      <c r="H70" s="170">
        <v>584.63999999999942</v>
      </c>
      <c r="I70" s="69">
        <f t="shared" si="50"/>
        <v>21415.679999999997</v>
      </c>
      <c r="J70" s="53">
        <f t="shared" si="51"/>
        <v>21955.916159999997</v>
      </c>
      <c r="K70" s="53">
        <f t="shared" si="52"/>
        <v>23383.050710399995</v>
      </c>
      <c r="L70" s="53">
        <v>10410.400000000001</v>
      </c>
      <c r="M70" s="53"/>
      <c r="N70" s="53">
        <f t="shared" si="53"/>
        <v>11005.279999999995</v>
      </c>
    </row>
    <row r="71" spans="1:14" x14ac:dyDescent="0.3">
      <c r="A71" s="52" t="s">
        <v>597</v>
      </c>
      <c r="B71" s="52" t="s">
        <v>593</v>
      </c>
      <c r="C71" s="53">
        <v>10000</v>
      </c>
      <c r="D71" s="53"/>
      <c r="E71" s="53">
        <f t="shared" si="3"/>
        <v>10000</v>
      </c>
      <c r="F71" s="53"/>
      <c r="G71" s="53">
        <f t="shared" si="0"/>
        <v>10000</v>
      </c>
      <c r="H71" s="170">
        <v>35000</v>
      </c>
      <c r="I71" s="69">
        <f t="shared" si="50"/>
        <v>45000</v>
      </c>
      <c r="J71" s="53">
        <f t="shared" si="51"/>
        <v>10540</v>
      </c>
      <c r="K71" s="53">
        <f t="shared" si="52"/>
        <v>11225.099999999999</v>
      </c>
      <c r="L71" s="53">
        <v>0</v>
      </c>
      <c r="M71" s="53"/>
      <c r="N71" s="53">
        <f t="shared" si="53"/>
        <v>45000</v>
      </c>
    </row>
    <row r="72" spans="1:14" x14ac:dyDescent="0.3">
      <c r="A72" s="52" t="s">
        <v>443</v>
      </c>
      <c r="B72" s="52" t="s">
        <v>433</v>
      </c>
      <c r="C72" s="53">
        <v>35000</v>
      </c>
      <c r="D72" s="53"/>
      <c r="E72" s="53">
        <f t="shared" si="3"/>
        <v>35000</v>
      </c>
      <c r="F72" s="53"/>
      <c r="G72" s="53">
        <f t="shared" si="0"/>
        <v>35000</v>
      </c>
      <c r="H72" s="170">
        <v>0</v>
      </c>
      <c r="I72" s="69">
        <f t="shared" si="50"/>
        <v>35000</v>
      </c>
      <c r="J72" s="53">
        <f t="shared" si="51"/>
        <v>36890</v>
      </c>
      <c r="K72" s="53">
        <f t="shared" si="52"/>
        <v>39287.85</v>
      </c>
      <c r="L72" s="53">
        <v>27100.25</v>
      </c>
      <c r="M72" s="53"/>
      <c r="N72" s="53">
        <f t="shared" si="53"/>
        <v>7899.75</v>
      </c>
    </row>
    <row r="73" spans="1:14" x14ac:dyDescent="0.3">
      <c r="A73" s="52" t="s">
        <v>350</v>
      </c>
      <c r="B73" s="52" t="s">
        <v>126</v>
      </c>
      <c r="C73" s="53">
        <v>72646.312500000029</v>
      </c>
      <c r="D73" s="53"/>
      <c r="E73" s="53">
        <f t="shared" si="3"/>
        <v>72646.312500000029</v>
      </c>
      <c r="F73" s="53"/>
      <c r="G73" s="53">
        <f t="shared" si="0"/>
        <v>72646.312500000029</v>
      </c>
      <c r="H73" s="170">
        <v>0</v>
      </c>
      <c r="I73" s="69">
        <f t="shared" si="50"/>
        <v>72646.312500000029</v>
      </c>
      <c r="J73" s="53">
        <f t="shared" si="51"/>
        <v>76569.213375000036</v>
      </c>
      <c r="K73" s="53">
        <f t="shared" si="52"/>
        <v>81546.212244375027</v>
      </c>
      <c r="L73" s="53">
        <v>42377.020000000004</v>
      </c>
      <c r="M73" s="53"/>
      <c r="N73" s="53">
        <f t="shared" si="53"/>
        <v>30269.292500000025</v>
      </c>
    </row>
    <row r="74" spans="1:14" x14ac:dyDescent="0.3">
      <c r="A74" s="52" t="s">
        <v>351</v>
      </c>
      <c r="B74" s="52" t="s">
        <v>352</v>
      </c>
      <c r="C74" s="53">
        <v>20429.239999999998</v>
      </c>
      <c r="D74" s="53"/>
      <c r="E74" s="53">
        <f t="shared" si="3"/>
        <v>20429.239999999998</v>
      </c>
      <c r="F74" s="53"/>
      <c r="G74" s="53">
        <f t="shared" si="0"/>
        <v>20429.239999999998</v>
      </c>
      <c r="H74" s="170">
        <v>680.88000000000102</v>
      </c>
      <c r="I74" s="69">
        <f t="shared" si="50"/>
        <v>21110.12</v>
      </c>
      <c r="J74" s="53">
        <f t="shared" si="51"/>
        <v>21532.418959999999</v>
      </c>
      <c r="K74" s="53">
        <f t="shared" si="52"/>
        <v>22932.026192399997</v>
      </c>
      <c r="L74" s="53">
        <v>6751.5700000000006</v>
      </c>
      <c r="M74" s="53"/>
      <c r="N74" s="53">
        <f t="shared" si="53"/>
        <v>14358.55</v>
      </c>
    </row>
    <row r="75" spans="1:14" x14ac:dyDescent="0.3">
      <c r="A75" s="52" t="s">
        <v>353</v>
      </c>
      <c r="B75" s="52" t="s">
        <v>354</v>
      </c>
      <c r="C75" s="53">
        <v>80000</v>
      </c>
      <c r="D75" s="53"/>
      <c r="E75" s="53">
        <f t="shared" si="3"/>
        <v>80000</v>
      </c>
      <c r="F75" s="53"/>
      <c r="G75" s="53">
        <f t="shared" si="0"/>
        <v>80000</v>
      </c>
      <c r="H75" s="170">
        <v>-50000</v>
      </c>
      <c r="I75" s="69">
        <f t="shared" si="50"/>
        <v>30000</v>
      </c>
      <c r="J75" s="53">
        <f t="shared" si="51"/>
        <v>84320</v>
      </c>
      <c r="K75" s="53">
        <f t="shared" si="52"/>
        <v>89800.799999999988</v>
      </c>
      <c r="L75" s="53">
        <v>11848.73</v>
      </c>
      <c r="M75" s="53"/>
      <c r="N75" s="53">
        <f t="shared" si="53"/>
        <v>18151.27</v>
      </c>
    </row>
    <row r="76" spans="1:14" x14ac:dyDescent="0.3">
      <c r="A76" s="52" t="s">
        <v>355</v>
      </c>
      <c r="B76" s="52" t="s">
        <v>356</v>
      </c>
      <c r="C76" s="53">
        <v>587883.50399999996</v>
      </c>
      <c r="D76" s="53"/>
      <c r="E76" s="53">
        <f t="shared" si="3"/>
        <v>587883.50399999996</v>
      </c>
      <c r="F76" s="53"/>
      <c r="G76" s="53">
        <f t="shared" si="0"/>
        <v>587883.50399999996</v>
      </c>
      <c r="H76" s="170">
        <v>1655.3760000000475</v>
      </c>
      <c r="I76" s="69">
        <f t="shared" si="50"/>
        <v>589538.88</v>
      </c>
      <c r="J76" s="53">
        <f t="shared" si="51"/>
        <v>619629.213216</v>
      </c>
      <c r="K76" s="53">
        <f t="shared" si="52"/>
        <v>659905.11207504</v>
      </c>
      <c r="L76" s="53">
        <v>344365.68</v>
      </c>
      <c r="M76" s="53"/>
      <c r="N76" s="53">
        <f t="shared" si="53"/>
        <v>245173.2</v>
      </c>
    </row>
    <row r="77" spans="1:14" x14ac:dyDescent="0.3">
      <c r="A77" s="52" t="s">
        <v>357</v>
      </c>
      <c r="B77" s="52" t="s">
        <v>550</v>
      </c>
      <c r="C77" s="53">
        <v>20822.400000000001</v>
      </c>
      <c r="D77" s="53"/>
      <c r="E77" s="53">
        <f t="shared" ref="E77:E80" si="54">C77+D77</f>
        <v>20822.400000000001</v>
      </c>
      <c r="F77" s="53"/>
      <c r="G77" s="53">
        <f t="shared" ref="G77:G114" si="55">E77+F77</f>
        <v>20822.400000000001</v>
      </c>
      <c r="H77" s="170">
        <v>936</v>
      </c>
      <c r="I77" s="69">
        <f t="shared" si="50"/>
        <v>21758.400000000001</v>
      </c>
      <c r="J77" s="53">
        <f t="shared" si="51"/>
        <v>21946.809600000004</v>
      </c>
      <c r="K77" s="53">
        <f t="shared" si="52"/>
        <v>23373.352224000002</v>
      </c>
      <c r="L77" s="53">
        <v>12224.400000000001</v>
      </c>
      <c r="M77" s="53"/>
      <c r="N77" s="53">
        <f t="shared" si="53"/>
        <v>9534</v>
      </c>
    </row>
    <row r="78" spans="1:14" x14ac:dyDescent="0.3">
      <c r="A78" s="52" t="s">
        <v>552</v>
      </c>
      <c r="B78" s="52" t="s">
        <v>551</v>
      </c>
      <c r="C78" s="53">
        <v>100000</v>
      </c>
      <c r="D78" s="53"/>
      <c r="E78" s="53">
        <f t="shared" si="54"/>
        <v>100000</v>
      </c>
      <c r="F78" s="53"/>
      <c r="G78" s="53">
        <f t="shared" si="55"/>
        <v>100000</v>
      </c>
      <c r="H78" s="170">
        <v>-100000</v>
      </c>
      <c r="I78" s="69">
        <f t="shared" si="50"/>
        <v>0</v>
      </c>
      <c r="J78" s="53">
        <f t="shared" si="51"/>
        <v>105400</v>
      </c>
      <c r="K78" s="53">
        <f t="shared" ref="K78" si="56">J78*106.5%</f>
        <v>112251</v>
      </c>
      <c r="L78" s="53">
        <v>0</v>
      </c>
      <c r="M78" s="53"/>
      <c r="N78" s="53">
        <f t="shared" si="53"/>
        <v>0</v>
      </c>
    </row>
    <row r="79" spans="1:14" x14ac:dyDescent="0.3">
      <c r="A79" s="52" t="s">
        <v>358</v>
      </c>
      <c r="B79" s="52" t="s">
        <v>359</v>
      </c>
      <c r="C79" s="53">
        <v>1784.6399999999999</v>
      </c>
      <c r="D79" s="53"/>
      <c r="E79" s="53">
        <f t="shared" si="54"/>
        <v>1784.6399999999999</v>
      </c>
      <c r="F79" s="53"/>
      <c r="G79" s="53">
        <f t="shared" si="55"/>
        <v>1784.6399999999999</v>
      </c>
      <c r="H79" s="170">
        <v>0</v>
      </c>
      <c r="I79" s="69">
        <f t="shared" si="50"/>
        <v>1784.6399999999999</v>
      </c>
      <c r="J79" s="53">
        <f t="shared" si="51"/>
        <v>1881.0105599999999</v>
      </c>
      <c r="K79" s="53">
        <f t="shared" si="52"/>
        <v>2003.2762463999998</v>
      </c>
      <c r="L79" s="53">
        <v>1041.04</v>
      </c>
      <c r="M79" s="53"/>
      <c r="N79" s="53">
        <f t="shared" si="53"/>
        <v>743.59999999999991</v>
      </c>
    </row>
    <row r="80" spans="1:14" ht="13.5" thickBot="1" x14ac:dyDescent="0.35">
      <c r="A80" s="56" t="s">
        <v>360</v>
      </c>
      <c r="B80" s="56" t="s">
        <v>361</v>
      </c>
      <c r="C80" s="53">
        <v>195365.04</v>
      </c>
      <c r="D80" s="53"/>
      <c r="E80" s="53">
        <f t="shared" si="54"/>
        <v>195365.04</v>
      </c>
      <c r="F80" s="53"/>
      <c r="G80" s="53">
        <f t="shared" si="55"/>
        <v>195365.04</v>
      </c>
      <c r="H80" s="170">
        <v>8400.7200000000012</v>
      </c>
      <c r="I80" s="69">
        <f t="shared" si="50"/>
        <v>203765.76000000001</v>
      </c>
      <c r="J80" s="53">
        <f t="shared" si="51"/>
        <v>205914.75216</v>
      </c>
      <c r="K80" s="53">
        <f t="shared" si="52"/>
        <v>219299.21105039999</v>
      </c>
      <c r="L80" s="53">
        <v>118863.35999999999</v>
      </c>
      <c r="M80" s="53"/>
      <c r="N80" s="53">
        <f t="shared" si="53"/>
        <v>84902.400000000023</v>
      </c>
    </row>
    <row r="81" spans="1:15" s="77" customFormat="1" ht="13.5" thickBot="1" x14ac:dyDescent="0.35">
      <c r="A81" s="57" t="s">
        <v>259</v>
      </c>
      <c r="B81" s="57"/>
      <c r="C81" s="59">
        <f>SUM(C65:C80)</f>
        <v>6203952.6510829255</v>
      </c>
      <c r="D81" s="59">
        <f t="shared" ref="D81:N81" si="57">SUM(D65:D80)</f>
        <v>0</v>
      </c>
      <c r="E81" s="59">
        <f t="shared" si="57"/>
        <v>6203952.6510829255</v>
      </c>
      <c r="F81" s="59">
        <f t="shared" si="57"/>
        <v>0</v>
      </c>
      <c r="G81" s="59">
        <f t="shared" si="57"/>
        <v>6203952.6510829255</v>
      </c>
      <c r="H81" s="171">
        <f t="shared" si="57"/>
        <v>-144184.10542820024</v>
      </c>
      <c r="I81" s="59">
        <f t="shared" si="57"/>
        <v>6059768.5456547244</v>
      </c>
      <c r="J81" s="59">
        <f t="shared" si="57"/>
        <v>6538966.094241404</v>
      </c>
      <c r="K81" s="59">
        <f t="shared" si="57"/>
        <v>6963998.8903670926</v>
      </c>
      <c r="L81" s="59">
        <f t="shared" si="57"/>
        <v>3442811.7899999996</v>
      </c>
      <c r="M81" s="59">
        <f t="shared" si="57"/>
        <v>0</v>
      </c>
      <c r="N81" s="59">
        <f t="shared" si="57"/>
        <v>2616956.7556547252</v>
      </c>
      <c r="O81" s="76"/>
    </row>
    <row r="82" spans="1:15" s="77" customFormat="1" ht="14" thickTop="1" thickBot="1" x14ac:dyDescent="0.35">
      <c r="A82" s="98"/>
      <c r="B82" s="98"/>
      <c r="C82" s="99"/>
      <c r="D82" s="99"/>
      <c r="E82" s="99"/>
      <c r="F82" s="99"/>
      <c r="G82" s="53">
        <f t="shared" si="55"/>
        <v>0</v>
      </c>
      <c r="H82" s="174"/>
      <c r="I82" s="79"/>
      <c r="J82" s="99"/>
      <c r="K82" s="99"/>
      <c r="L82" s="67"/>
      <c r="M82" s="67"/>
      <c r="N82" s="51"/>
      <c r="O82" s="76"/>
    </row>
    <row r="83" spans="1:15" s="77" customFormat="1" ht="13.5" thickBot="1" x14ac:dyDescent="0.35">
      <c r="A83" s="75" t="s">
        <v>682</v>
      </c>
      <c r="B83" s="75"/>
      <c r="C83" s="100">
        <f>C81+C62</f>
        <v>12369471.884063713</v>
      </c>
      <c r="D83" s="100">
        <f t="shared" ref="D83:N83" si="58">D81+D62</f>
        <v>0</v>
      </c>
      <c r="E83" s="100">
        <f t="shared" si="58"/>
        <v>12369471.884063713</v>
      </c>
      <c r="F83" s="100">
        <f t="shared" si="58"/>
        <v>3000000</v>
      </c>
      <c r="G83" s="100">
        <f t="shared" si="58"/>
        <v>15369471.884063713</v>
      </c>
      <c r="H83" s="190">
        <f t="shared" si="58"/>
        <v>-1972495.5954282004</v>
      </c>
      <c r="I83" s="100">
        <f t="shared" si="58"/>
        <v>13396976.288635511</v>
      </c>
      <c r="J83" s="100">
        <f t="shared" si="58"/>
        <v>12988099.211939309</v>
      </c>
      <c r="K83" s="100">
        <f t="shared" si="58"/>
        <v>13709792.131479099</v>
      </c>
      <c r="L83" s="100">
        <f t="shared" si="58"/>
        <v>5853827.3999999994</v>
      </c>
      <c r="M83" s="100">
        <f t="shared" si="58"/>
        <v>60000</v>
      </c>
      <c r="N83" s="100">
        <f t="shared" si="58"/>
        <v>7483148.8886355124</v>
      </c>
      <c r="O83" s="76"/>
    </row>
    <row r="84" spans="1:15" s="77" customFormat="1" x14ac:dyDescent="0.3">
      <c r="A84" s="60"/>
      <c r="B84" s="60"/>
      <c r="C84" s="78"/>
      <c r="D84" s="78"/>
      <c r="E84" s="78"/>
      <c r="F84" s="78"/>
      <c r="G84" s="53">
        <f t="shared" si="55"/>
        <v>0</v>
      </c>
      <c r="H84" s="172"/>
      <c r="I84" s="62"/>
      <c r="J84" s="78"/>
      <c r="K84" s="78"/>
      <c r="L84" s="67"/>
      <c r="M84" s="67"/>
      <c r="N84" s="51"/>
      <c r="O84" s="76"/>
    </row>
    <row r="85" spans="1:15" s="77" customFormat="1" x14ac:dyDescent="0.3">
      <c r="A85" s="165" t="s">
        <v>681</v>
      </c>
      <c r="B85" s="165"/>
      <c r="C85" s="165"/>
      <c r="D85" s="165"/>
      <c r="E85" s="165"/>
      <c r="F85" s="165"/>
      <c r="G85" s="53">
        <f t="shared" si="55"/>
        <v>0</v>
      </c>
      <c r="H85" s="170"/>
      <c r="I85" s="53"/>
      <c r="J85" s="165"/>
      <c r="K85" s="165"/>
      <c r="L85" s="67"/>
      <c r="M85" s="67"/>
      <c r="N85" s="51"/>
      <c r="O85" s="76"/>
    </row>
    <row r="86" spans="1:15" s="77" customFormat="1" x14ac:dyDescent="0.3">
      <c r="A86" s="51"/>
      <c r="B86" s="51"/>
      <c r="C86" s="67"/>
      <c r="D86" s="67"/>
      <c r="E86" s="67"/>
      <c r="F86" s="67"/>
      <c r="G86" s="53">
        <f t="shared" si="55"/>
        <v>0</v>
      </c>
      <c r="H86" s="170"/>
      <c r="I86" s="53"/>
      <c r="J86" s="67"/>
      <c r="K86" s="67"/>
      <c r="L86" s="67"/>
      <c r="M86" s="67"/>
      <c r="N86" s="51"/>
      <c r="O86" s="76"/>
    </row>
    <row r="87" spans="1:15" s="77" customFormat="1" x14ac:dyDescent="0.3">
      <c r="A87" s="51" t="s">
        <v>460</v>
      </c>
      <c r="B87" s="51"/>
      <c r="C87" s="67"/>
      <c r="D87" s="67"/>
      <c r="E87" s="67"/>
      <c r="F87" s="67"/>
      <c r="G87" s="53">
        <f t="shared" si="55"/>
        <v>0</v>
      </c>
      <c r="H87" s="170"/>
      <c r="I87" s="53"/>
      <c r="J87" s="67"/>
      <c r="K87" s="67"/>
      <c r="L87" s="67"/>
      <c r="M87" s="67"/>
      <c r="N87" s="51"/>
      <c r="O87" s="76"/>
    </row>
    <row r="88" spans="1:15" x14ac:dyDescent="0.3">
      <c r="A88" s="52" t="s">
        <v>1205</v>
      </c>
      <c r="B88" s="52" t="s">
        <v>1283</v>
      </c>
      <c r="C88" s="53">
        <v>700000</v>
      </c>
      <c r="D88" s="53"/>
      <c r="E88" s="53">
        <f t="shared" ref="E88:E98" si="59">C88+D88</f>
        <v>700000</v>
      </c>
      <c r="F88" s="53"/>
      <c r="G88" s="53">
        <f t="shared" si="55"/>
        <v>700000</v>
      </c>
      <c r="H88" s="170">
        <f>669940+200000</f>
        <v>869940</v>
      </c>
      <c r="I88" s="69">
        <f t="shared" ref="I88:I98" si="60">G88+H88</f>
        <v>1569940</v>
      </c>
      <c r="J88" s="53">
        <f t="shared" ref="J88:J95" si="61">C88*105.4%</f>
        <v>737800</v>
      </c>
      <c r="K88" s="53">
        <f t="shared" ref="K88:K110" si="62">J88*106.5%</f>
        <v>785757</v>
      </c>
      <c r="L88" s="53">
        <v>769940</v>
      </c>
      <c r="M88" s="53"/>
      <c r="N88" s="53">
        <f t="shared" ref="N88:N98" si="63">I88-L88-M88</f>
        <v>800000</v>
      </c>
    </row>
    <row r="89" spans="1:15" x14ac:dyDescent="0.3">
      <c r="A89" s="52" t="s">
        <v>1169</v>
      </c>
      <c r="B89" s="52" t="s">
        <v>1170</v>
      </c>
      <c r="C89" s="53">
        <v>500000</v>
      </c>
      <c r="D89" s="53"/>
      <c r="E89" s="53">
        <f t="shared" si="59"/>
        <v>500000</v>
      </c>
      <c r="F89" s="53"/>
      <c r="G89" s="53">
        <f t="shared" si="55"/>
        <v>500000</v>
      </c>
      <c r="H89" s="170">
        <v>-65217.390000000014</v>
      </c>
      <c r="I89" s="69">
        <f t="shared" si="60"/>
        <v>434782.61</v>
      </c>
      <c r="J89" s="53">
        <f t="shared" si="61"/>
        <v>527000</v>
      </c>
      <c r="K89" s="53">
        <f t="shared" si="62"/>
        <v>561255</v>
      </c>
      <c r="L89" s="53">
        <v>434782.61</v>
      </c>
      <c r="M89" s="53"/>
      <c r="N89" s="53">
        <f t="shared" si="63"/>
        <v>0</v>
      </c>
    </row>
    <row r="90" spans="1:15" x14ac:dyDescent="0.3">
      <c r="A90" s="52"/>
      <c r="B90" s="52"/>
      <c r="C90" s="53">
        <v>0</v>
      </c>
      <c r="D90" s="53"/>
      <c r="E90" s="53">
        <f t="shared" si="59"/>
        <v>0</v>
      </c>
      <c r="F90" s="53"/>
      <c r="G90" s="53">
        <f t="shared" si="55"/>
        <v>0</v>
      </c>
      <c r="H90" s="170"/>
      <c r="I90" s="69">
        <f t="shared" si="60"/>
        <v>0</v>
      </c>
      <c r="J90" s="53">
        <f t="shared" si="61"/>
        <v>0</v>
      </c>
      <c r="K90" s="53">
        <f t="shared" si="62"/>
        <v>0</v>
      </c>
      <c r="L90" s="53"/>
      <c r="M90" s="53"/>
      <c r="N90" s="53">
        <f t="shared" si="63"/>
        <v>0</v>
      </c>
    </row>
    <row r="91" spans="1:15" x14ac:dyDescent="0.3">
      <c r="A91" s="52"/>
      <c r="B91" s="51" t="s">
        <v>547</v>
      </c>
      <c r="C91" s="53">
        <v>0</v>
      </c>
      <c r="D91" s="53"/>
      <c r="E91" s="53">
        <f t="shared" si="59"/>
        <v>0</v>
      </c>
      <c r="F91" s="53"/>
      <c r="G91" s="53">
        <f t="shared" si="55"/>
        <v>0</v>
      </c>
      <c r="H91" s="170"/>
      <c r="I91" s="69">
        <f t="shared" si="60"/>
        <v>0</v>
      </c>
      <c r="J91" s="53">
        <f t="shared" si="61"/>
        <v>0</v>
      </c>
      <c r="K91" s="53">
        <f t="shared" si="62"/>
        <v>0</v>
      </c>
      <c r="L91" s="53"/>
      <c r="M91" s="53"/>
      <c r="N91" s="53">
        <f t="shared" si="63"/>
        <v>0</v>
      </c>
    </row>
    <row r="92" spans="1:15" x14ac:dyDescent="0.3">
      <c r="A92" s="52" t="s">
        <v>1194</v>
      </c>
      <c r="B92" s="166" t="s">
        <v>548</v>
      </c>
      <c r="C92" s="53">
        <v>400000</v>
      </c>
      <c r="D92" s="53">
        <v>800000</v>
      </c>
      <c r="E92" s="53">
        <f t="shared" si="59"/>
        <v>1200000</v>
      </c>
      <c r="F92" s="53"/>
      <c r="G92" s="53">
        <f t="shared" si="55"/>
        <v>1200000</v>
      </c>
      <c r="H92" s="170">
        <f>100000+100000</f>
        <v>200000</v>
      </c>
      <c r="I92" s="69">
        <f t="shared" si="60"/>
        <v>1400000</v>
      </c>
      <c r="J92" s="53">
        <f t="shared" si="61"/>
        <v>421600</v>
      </c>
      <c r="K92" s="53">
        <f t="shared" si="62"/>
        <v>449004</v>
      </c>
      <c r="L92" s="53"/>
      <c r="M92" s="53"/>
      <c r="N92" s="53">
        <f t="shared" si="63"/>
        <v>1400000</v>
      </c>
    </row>
    <row r="93" spans="1:15" x14ac:dyDescent="0.3">
      <c r="A93" s="52" t="s">
        <v>1195</v>
      </c>
      <c r="B93" s="52" t="s">
        <v>549</v>
      </c>
      <c r="C93" s="53">
        <v>400000</v>
      </c>
      <c r="D93" s="53"/>
      <c r="E93" s="53">
        <f t="shared" si="59"/>
        <v>400000</v>
      </c>
      <c r="F93" s="53"/>
      <c r="G93" s="53">
        <f t="shared" si="55"/>
        <v>400000</v>
      </c>
      <c r="H93" s="170">
        <v>1200000</v>
      </c>
      <c r="I93" s="69">
        <f t="shared" si="60"/>
        <v>1600000</v>
      </c>
      <c r="J93" s="53">
        <f t="shared" si="61"/>
        <v>421600</v>
      </c>
      <c r="K93" s="53">
        <f t="shared" si="62"/>
        <v>449004</v>
      </c>
      <c r="L93" s="53">
        <v>1391304.35</v>
      </c>
      <c r="M93" s="53"/>
      <c r="N93" s="53">
        <f t="shared" si="63"/>
        <v>208695.64999999991</v>
      </c>
    </row>
    <row r="94" spans="1:15" x14ac:dyDescent="0.3">
      <c r="A94" s="52"/>
      <c r="B94" s="52"/>
      <c r="C94" s="53">
        <v>0</v>
      </c>
      <c r="D94" s="53"/>
      <c r="E94" s="53">
        <f t="shared" si="59"/>
        <v>0</v>
      </c>
      <c r="F94" s="53"/>
      <c r="G94" s="53">
        <f t="shared" si="55"/>
        <v>0</v>
      </c>
      <c r="H94" s="170"/>
      <c r="I94" s="69">
        <f t="shared" si="60"/>
        <v>0</v>
      </c>
      <c r="J94" s="53">
        <f t="shared" si="61"/>
        <v>0</v>
      </c>
      <c r="K94" s="53">
        <f t="shared" si="62"/>
        <v>0</v>
      </c>
      <c r="L94" s="53"/>
      <c r="M94" s="53"/>
      <c r="N94" s="53">
        <f t="shared" si="63"/>
        <v>0</v>
      </c>
    </row>
    <row r="95" spans="1:15" x14ac:dyDescent="0.3">
      <c r="A95" s="52"/>
      <c r="B95" s="51" t="s">
        <v>556</v>
      </c>
      <c r="C95" s="53">
        <v>0</v>
      </c>
      <c r="D95" s="53"/>
      <c r="E95" s="53">
        <f t="shared" si="59"/>
        <v>0</v>
      </c>
      <c r="F95" s="53"/>
      <c r="G95" s="53">
        <f t="shared" si="55"/>
        <v>0</v>
      </c>
      <c r="H95" s="170"/>
      <c r="I95" s="69">
        <f t="shared" si="60"/>
        <v>0</v>
      </c>
      <c r="J95" s="53">
        <f t="shared" si="61"/>
        <v>0</v>
      </c>
      <c r="K95" s="53">
        <f t="shared" si="62"/>
        <v>0</v>
      </c>
      <c r="L95" s="53"/>
      <c r="M95" s="53"/>
      <c r="N95" s="53">
        <f t="shared" si="63"/>
        <v>0</v>
      </c>
    </row>
    <row r="96" spans="1:15" x14ac:dyDescent="0.3">
      <c r="A96" s="52" t="s">
        <v>1197</v>
      </c>
      <c r="B96" s="166" t="s">
        <v>1196</v>
      </c>
      <c r="C96" s="53">
        <v>1600000</v>
      </c>
      <c r="D96" s="53">
        <v>-800000</v>
      </c>
      <c r="E96" s="53">
        <f t="shared" si="59"/>
        <v>800000</v>
      </c>
      <c r="F96" s="53"/>
      <c r="G96" s="53">
        <f t="shared" si="55"/>
        <v>800000</v>
      </c>
      <c r="H96" s="170">
        <f>294707.95286575-94707</f>
        <v>200000.95286575001</v>
      </c>
      <c r="I96" s="69">
        <f t="shared" si="60"/>
        <v>1000000.9528657501</v>
      </c>
      <c r="J96" s="53">
        <v>1200000</v>
      </c>
      <c r="K96" s="53">
        <f t="shared" si="62"/>
        <v>1278000</v>
      </c>
      <c r="L96" s="53"/>
      <c r="M96" s="53"/>
      <c r="N96" s="53">
        <f t="shared" si="63"/>
        <v>1000000.9528657501</v>
      </c>
    </row>
    <row r="97" spans="1:15" x14ac:dyDescent="0.3">
      <c r="A97" s="52" t="s">
        <v>1199</v>
      </c>
      <c r="B97" s="52" t="s">
        <v>1198</v>
      </c>
      <c r="C97" s="53">
        <v>50000</v>
      </c>
      <c r="D97" s="53"/>
      <c r="E97" s="53">
        <f t="shared" si="59"/>
        <v>50000</v>
      </c>
      <c r="F97" s="53"/>
      <c r="G97" s="53">
        <f t="shared" si="55"/>
        <v>50000</v>
      </c>
      <c r="H97" s="170">
        <v>19580</v>
      </c>
      <c r="I97" s="69">
        <f t="shared" si="60"/>
        <v>69580</v>
      </c>
      <c r="J97" s="53">
        <f>C97*105.4%</f>
        <v>52700</v>
      </c>
      <c r="K97" s="53">
        <f t="shared" si="62"/>
        <v>56125.5</v>
      </c>
      <c r="L97" s="53">
        <v>30420</v>
      </c>
      <c r="M97" s="53"/>
      <c r="N97" s="53">
        <f t="shared" si="63"/>
        <v>39160</v>
      </c>
    </row>
    <row r="98" spans="1:15" ht="13.5" thickBot="1" x14ac:dyDescent="0.35">
      <c r="A98" s="56"/>
      <c r="B98" s="56"/>
      <c r="C98" s="69"/>
      <c r="D98" s="69"/>
      <c r="E98" s="53">
        <f t="shared" si="59"/>
        <v>0</v>
      </c>
      <c r="F98" s="69"/>
      <c r="G98" s="53">
        <f t="shared" si="55"/>
        <v>0</v>
      </c>
      <c r="H98" s="173"/>
      <c r="I98" s="69">
        <f t="shared" si="60"/>
        <v>0</v>
      </c>
      <c r="J98" s="69">
        <f>C98*105.4%</f>
        <v>0</v>
      </c>
      <c r="K98" s="69">
        <f t="shared" si="62"/>
        <v>0</v>
      </c>
      <c r="L98" s="53"/>
      <c r="M98" s="53"/>
      <c r="N98" s="53">
        <f t="shared" si="63"/>
        <v>0</v>
      </c>
    </row>
    <row r="99" spans="1:15" s="77" customFormat="1" ht="13.5" thickBot="1" x14ac:dyDescent="0.35">
      <c r="A99" s="57" t="s">
        <v>685</v>
      </c>
      <c r="B99" s="57"/>
      <c r="C99" s="59">
        <f>SUM(C88:C98)</f>
        <v>3650000</v>
      </c>
      <c r="D99" s="59">
        <f t="shared" ref="D99:N99" si="64">SUM(D88:D98)</f>
        <v>0</v>
      </c>
      <c r="E99" s="59">
        <f t="shared" si="64"/>
        <v>3650000</v>
      </c>
      <c r="F99" s="59">
        <f t="shared" si="64"/>
        <v>0</v>
      </c>
      <c r="G99" s="59">
        <f t="shared" si="64"/>
        <v>3650000</v>
      </c>
      <c r="H99" s="171">
        <f t="shared" si="64"/>
        <v>2424303.5628657499</v>
      </c>
      <c r="I99" s="59">
        <f t="shared" si="64"/>
        <v>6074303.562865749</v>
      </c>
      <c r="J99" s="59">
        <f t="shared" si="64"/>
        <v>3360700</v>
      </c>
      <c r="K99" s="59">
        <f t="shared" si="64"/>
        <v>3579145.5</v>
      </c>
      <c r="L99" s="59">
        <f t="shared" si="64"/>
        <v>2626446.96</v>
      </c>
      <c r="M99" s="59">
        <f t="shared" si="64"/>
        <v>0</v>
      </c>
      <c r="N99" s="59">
        <f t="shared" si="64"/>
        <v>3447856.60286575</v>
      </c>
      <c r="O99" s="76"/>
    </row>
    <row r="100" spans="1:15" ht="13.5" thickTop="1" x14ac:dyDescent="0.3">
      <c r="A100" s="61"/>
      <c r="B100" s="61"/>
      <c r="C100" s="62"/>
      <c r="D100" s="62"/>
      <c r="E100" s="62"/>
      <c r="F100" s="62"/>
      <c r="G100" s="53">
        <f t="shared" si="55"/>
        <v>0</v>
      </c>
      <c r="H100" s="172"/>
      <c r="I100" s="62"/>
      <c r="J100" s="62"/>
      <c r="K100" s="62"/>
      <c r="L100" s="53"/>
      <c r="M100" s="53"/>
      <c r="N100" s="52"/>
    </row>
    <row r="101" spans="1:15" x14ac:dyDescent="0.3">
      <c r="A101" s="51" t="s">
        <v>398</v>
      </c>
      <c r="B101" s="52"/>
      <c r="C101" s="53"/>
      <c r="D101" s="53"/>
      <c r="E101" s="53"/>
      <c r="F101" s="53"/>
      <c r="G101" s="53">
        <f t="shared" si="55"/>
        <v>0</v>
      </c>
      <c r="H101" s="170"/>
      <c r="I101" s="53"/>
      <c r="J101" s="53">
        <f t="shared" ref="J101:J110" si="65">C101*105.4%</f>
        <v>0</v>
      </c>
      <c r="K101" s="53">
        <f t="shared" si="62"/>
        <v>0</v>
      </c>
      <c r="L101" s="53"/>
      <c r="M101" s="53"/>
      <c r="N101" s="52"/>
    </row>
    <row r="102" spans="1:15" x14ac:dyDescent="0.3">
      <c r="A102" s="52"/>
      <c r="B102" s="52" t="s">
        <v>185</v>
      </c>
      <c r="C102" s="53">
        <v>0</v>
      </c>
      <c r="D102" s="53"/>
      <c r="E102" s="53"/>
      <c r="F102" s="53"/>
      <c r="G102" s="53">
        <f t="shared" si="55"/>
        <v>0</v>
      </c>
      <c r="H102" s="170"/>
      <c r="I102" s="69">
        <f t="shared" ref="I102:I110" si="66">G102+H102</f>
        <v>0</v>
      </c>
      <c r="J102" s="53">
        <f t="shared" si="65"/>
        <v>0</v>
      </c>
      <c r="K102" s="53">
        <f t="shared" si="62"/>
        <v>0</v>
      </c>
      <c r="L102" s="53"/>
      <c r="M102" s="53"/>
      <c r="N102" s="53">
        <f t="shared" ref="N102:N110" si="67">I102-L102-M102</f>
        <v>0</v>
      </c>
    </row>
    <row r="103" spans="1:15" x14ac:dyDescent="0.3">
      <c r="A103" s="52"/>
      <c r="B103" s="52" t="s">
        <v>176</v>
      </c>
      <c r="C103" s="53">
        <v>0</v>
      </c>
      <c r="D103" s="53"/>
      <c r="E103" s="53"/>
      <c r="F103" s="53"/>
      <c r="G103" s="53">
        <f t="shared" si="55"/>
        <v>0</v>
      </c>
      <c r="H103" s="170"/>
      <c r="I103" s="69">
        <f t="shared" si="66"/>
        <v>0</v>
      </c>
      <c r="J103" s="53">
        <f t="shared" si="65"/>
        <v>0</v>
      </c>
      <c r="K103" s="53">
        <f t="shared" si="62"/>
        <v>0</v>
      </c>
      <c r="L103" s="53"/>
      <c r="M103" s="53"/>
      <c r="N103" s="53">
        <f t="shared" si="67"/>
        <v>0</v>
      </c>
    </row>
    <row r="104" spans="1:15" x14ac:dyDescent="0.3">
      <c r="A104" s="52"/>
      <c r="B104" s="52" t="s">
        <v>182</v>
      </c>
      <c r="C104" s="53">
        <v>0</v>
      </c>
      <c r="D104" s="53"/>
      <c r="E104" s="53"/>
      <c r="F104" s="53"/>
      <c r="G104" s="53">
        <f t="shared" si="55"/>
        <v>0</v>
      </c>
      <c r="H104" s="170"/>
      <c r="I104" s="69">
        <f t="shared" si="66"/>
        <v>0</v>
      </c>
      <c r="J104" s="53">
        <f t="shared" si="65"/>
        <v>0</v>
      </c>
      <c r="K104" s="53">
        <f t="shared" si="62"/>
        <v>0</v>
      </c>
      <c r="L104" s="53"/>
      <c r="M104" s="53"/>
      <c r="N104" s="53">
        <f t="shared" si="67"/>
        <v>0</v>
      </c>
    </row>
    <row r="105" spans="1:15" x14ac:dyDescent="0.3">
      <c r="A105" s="52"/>
      <c r="B105" s="52" t="s">
        <v>59</v>
      </c>
      <c r="C105" s="53">
        <v>0</v>
      </c>
      <c r="D105" s="53"/>
      <c r="E105" s="53"/>
      <c r="F105" s="53"/>
      <c r="G105" s="53">
        <f t="shared" si="55"/>
        <v>0</v>
      </c>
      <c r="H105" s="170"/>
      <c r="I105" s="69">
        <f t="shared" si="66"/>
        <v>0</v>
      </c>
      <c r="J105" s="53">
        <f t="shared" si="65"/>
        <v>0</v>
      </c>
      <c r="K105" s="53">
        <f t="shared" si="62"/>
        <v>0</v>
      </c>
      <c r="L105" s="53"/>
      <c r="M105" s="53"/>
      <c r="N105" s="53">
        <f t="shared" si="67"/>
        <v>0</v>
      </c>
    </row>
    <row r="106" spans="1:15" x14ac:dyDescent="0.3">
      <c r="A106" s="52"/>
      <c r="B106" s="52" t="s">
        <v>168</v>
      </c>
      <c r="C106" s="53">
        <v>0</v>
      </c>
      <c r="D106" s="53"/>
      <c r="E106" s="53"/>
      <c r="F106" s="53"/>
      <c r="G106" s="53">
        <f t="shared" si="55"/>
        <v>0</v>
      </c>
      <c r="H106" s="170"/>
      <c r="I106" s="69">
        <f t="shared" si="66"/>
        <v>0</v>
      </c>
      <c r="J106" s="53">
        <f t="shared" si="65"/>
        <v>0</v>
      </c>
      <c r="K106" s="53">
        <f t="shared" si="62"/>
        <v>0</v>
      </c>
      <c r="L106" s="53"/>
      <c r="M106" s="53"/>
      <c r="N106" s="53">
        <f t="shared" si="67"/>
        <v>0</v>
      </c>
    </row>
    <row r="107" spans="1:15" x14ac:dyDescent="0.3">
      <c r="A107" s="52"/>
      <c r="B107" s="52" t="s">
        <v>173</v>
      </c>
      <c r="C107" s="53">
        <v>0</v>
      </c>
      <c r="D107" s="53"/>
      <c r="E107" s="53"/>
      <c r="F107" s="53"/>
      <c r="G107" s="53">
        <f t="shared" si="55"/>
        <v>0</v>
      </c>
      <c r="H107" s="170"/>
      <c r="I107" s="69">
        <f t="shared" si="66"/>
        <v>0</v>
      </c>
      <c r="J107" s="53">
        <f t="shared" si="65"/>
        <v>0</v>
      </c>
      <c r="K107" s="53">
        <f t="shared" si="62"/>
        <v>0</v>
      </c>
      <c r="L107" s="53"/>
      <c r="M107" s="53"/>
      <c r="N107" s="53">
        <f t="shared" si="67"/>
        <v>0</v>
      </c>
    </row>
    <row r="108" spans="1:15" x14ac:dyDescent="0.3">
      <c r="A108" s="52"/>
      <c r="B108" s="52" t="s">
        <v>192</v>
      </c>
      <c r="C108" s="53">
        <v>0</v>
      </c>
      <c r="D108" s="53"/>
      <c r="E108" s="53"/>
      <c r="F108" s="53"/>
      <c r="G108" s="53">
        <f t="shared" si="55"/>
        <v>0</v>
      </c>
      <c r="H108" s="170"/>
      <c r="I108" s="69">
        <f t="shared" si="66"/>
        <v>0</v>
      </c>
      <c r="J108" s="53">
        <f t="shared" si="65"/>
        <v>0</v>
      </c>
      <c r="K108" s="53">
        <f t="shared" si="62"/>
        <v>0</v>
      </c>
      <c r="L108" s="53"/>
      <c r="M108" s="53"/>
      <c r="N108" s="53">
        <f t="shared" si="67"/>
        <v>0</v>
      </c>
    </row>
    <row r="109" spans="1:15" x14ac:dyDescent="0.3">
      <c r="A109" s="52"/>
      <c r="B109" s="52" t="s">
        <v>57</v>
      </c>
      <c r="C109" s="53">
        <v>0</v>
      </c>
      <c r="D109" s="53"/>
      <c r="E109" s="53"/>
      <c r="F109" s="53"/>
      <c r="G109" s="53">
        <f t="shared" si="55"/>
        <v>0</v>
      </c>
      <c r="H109" s="170"/>
      <c r="I109" s="69">
        <f t="shared" si="66"/>
        <v>0</v>
      </c>
      <c r="J109" s="53">
        <f t="shared" si="65"/>
        <v>0</v>
      </c>
      <c r="K109" s="53">
        <f t="shared" si="62"/>
        <v>0</v>
      </c>
      <c r="L109" s="53"/>
      <c r="M109" s="53"/>
      <c r="N109" s="53">
        <f t="shared" si="67"/>
        <v>0</v>
      </c>
    </row>
    <row r="110" spans="1:15" ht="13.5" thickBot="1" x14ac:dyDescent="0.35">
      <c r="A110" s="52"/>
      <c r="B110" s="52" t="s">
        <v>179</v>
      </c>
      <c r="C110" s="53">
        <v>0</v>
      </c>
      <c r="D110" s="53"/>
      <c r="E110" s="53"/>
      <c r="F110" s="53"/>
      <c r="G110" s="53">
        <f t="shared" si="55"/>
        <v>0</v>
      </c>
      <c r="H110" s="170"/>
      <c r="I110" s="69">
        <f t="shared" si="66"/>
        <v>0</v>
      </c>
      <c r="J110" s="53">
        <f t="shared" si="65"/>
        <v>0</v>
      </c>
      <c r="K110" s="53">
        <f t="shared" si="62"/>
        <v>0</v>
      </c>
      <c r="L110" s="53"/>
      <c r="M110" s="53"/>
      <c r="N110" s="53">
        <f t="shared" si="67"/>
        <v>0</v>
      </c>
    </row>
    <row r="111" spans="1:15" ht="13.5" thickBot="1" x14ac:dyDescent="0.35">
      <c r="A111" s="57" t="s">
        <v>259</v>
      </c>
      <c r="B111" s="57"/>
      <c r="C111" s="95">
        <f>SUM(C102:C110)</f>
        <v>0</v>
      </c>
      <c r="D111" s="95"/>
      <c r="E111" s="95"/>
      <c r="F111" s="95">
        <f t="shared" ref="F111:N111" si="68">SUM(F102:F110)</f>
        <v>0</v>
      </c>
      <c r="G111" s="95">
        <f t="shared" si="68"/>
        <v>0</v>
      </c>
      <c r="H111" s="198">
        <f t="shared" si="68"/>
        <v>0</v>
      </c>
      <c r="I111" s="95">
        <f t="shared" si="68"/>
        <v>0</v>
      </c>
      <c r="J111" s="95">
        <f t="shared" si="68"/>
        <v>0</v>
      </c>
      <c r="K111" s="95">
        <f t="shared" si="68"/>
        <v>0</v>
      </c>
      <c r="L111" s="95">
        <f t="shared" si="68"/>
        <v>0</v>
      </c>
      <c r="M111" s="95"/>
      <c r="N111" s="95">
        <f t="shared" si="68"/>
        <v>0</v>
      </c>
    </row>
    <row r="112" spans="1:15" ht="14" thickTop="1" thickBot="1" x14ac:dyDescent="0.35">
      <c r="A112" s="96"/>
      <c r="B112" s="96"/>
      <c r="C112" s="97"/>
      <c r="D112" s="79"/>
      <c r="E112" s="79"/>
      <c r="F112" s="79"/>
      <c r="G112" s="53">
        <f t="shared" si="55"/>
        <v>0</v>
      </c>
      <c r="H112" s="172"/>
      <c r="I112" s="62"/>
      <c r="J112" s="62">
        <f>C112*105.4%</f>
        <v>0</v>
      </c>
      <c r="K112" s="62">
        <f t="shared" ref="K112" si="69">J112*106.5%</f>
        <v>0</v>
      </c>
      <c r="L112" s="53"/>
      <c r="M112" s="53"/>
      <c r="N112" s="52"/>
    </row>
    <row r="113" spans="1:15" s="77" customFormat="1" ht="13.5" thickBot="1" x14ac:dyDescent="0.35">
      <c r="A113" s="57" t="s">
        <v>683</v>
      </c>
      <c r="B113" s="57"/>
      <c r="C113" s="59">
        <f>C111+C99</f>
        <v>3650000</v>
      </c>
      <c r="D113" s="59">
        <f t="shared" ref="D113:N113" si="70">D111+D99</f>
        <v>0</v>
      </c>
      <c r="E113" s="59">
        <f t="shared" si="70"/>
        <v>3650000</v>
      </c>
      <c r="F113" s="59">
        <f t="shared" si="70"/>
        <v>0</v>
      </c>
      <c r="G113" s="59">
        <f t="shared" si="70"/>
        <v>3650000</v>
      </c>
      <c r="H113" s="171">
        <f t="shared" si="70"/>
        <v>2424303.5628657499</v>
      </c>
      <c r="I113" s="59">
        <f t="shared" si="70"/>
        <v>6074303.562865749</v>
      </c>
      <c r="J113" s="59">
        <f t="shared" si="70"/>
        <v>3360700</v>
      </c>
      <c r="K113" s="59">
        <f t="shared" si="70"/>
        <v>3579145.5</v>
      </c>
      <c r="L113" s="59">
        <f t="shared" si="70"/>
        <v>2626446.96</v>
      </c>
      <c r="M113" s="59">
        <f t="shared" si="70"/>
        <v>0</v>
      </c>
      <c r="N113" s="59">
        <f t="shared" si="70"/>
        <v>3447856.60286575</v>
      </c>
      <c r="O113" s="76"/>
    </row>
    <row r="114" spans="1:15" ht="14" thickTop="1" thickBot="1" x14ac:dyDescent="0.35">
      <c r="A114" s="73"/>
      <c r="B114" s="73"/>
      <c r="C114" s="79"/>
      <c r="D114" s="79"/>
      <c r="E114" s="79"/>
      <c r="F114" s="79"/>
      <c r="G114" s="53">
        <f t="shared" si="55"/>
        <v>0</v>
      </c>
      <c r="H114" s="174"/>
      <c r="I114" s="79"/>
      <c r="J114" s="79"/>
      <c r="K114" s="79"/>
      <c r="L114" s="53"/>
      <c r="M114" s="53"/>
      <c r="N114" s="52"/>
    </row>
    <row r="115" spans="1:15" ht="13.5" thickBot="1" x14ac:dyDescent="0.35">
      <c r="A115" s="57" t="s">
        <v>684</v>
      </c>
      <c r="B115" s="57"/>
      <c r="C115" s="59">
        <f>C113+C83</f>
        <v>16019471.884063713</v>
      </c>
      <c r="D115" s="59">
        <f t="shared" ref="D115:N115" si="71">D113+D83</f>
        <v>0</v>
      </c>
      <c r="E115" s="59">
        <f t="shared" si="71"/>
        <v>16019471.884063713</v>
      </c>
      <c r="F115" s="59">
        <f t="shared" si="71"/>
        <v>3000000</v>
      </c>
      <c r="G115" s="59">
        <f t="shared" si="71"/>
        <v>19019471.884063713</v>
      </c>
      <c r="H115" s="171">
        <f t="shared" si="71"/>
        <v>451807.96743754949</v>
      </c>
      <c r="I115" s="59">
        <f t="shared" si="71"/>
        <v>19471279.85150126</v>
      </c>
      <c r="J115" s="59">
        <f t="shared" si="71"/>
        <v>16348799.211939309</v>
      </c>
      <c r="K115" s="59">
        <f t="shared" si="71"/>
        <v>17288937.631479099</v>
      </c>
      <c r="L115" s="59">
        <f t="shared" si="71"/>
        <v>8480274.3599999994</v>
      </c>
      <c r="M115" s="59">
        <f t="shared" si="71"/>
        <v>60000</v>
      </c>
      <c r="N115" s="59">
        <f t="shared" si="71"/>
        <v>10931005.491501262</v>
      </c>
    </row>
    <row r="116" spans="1:15" ht="13.5" thickTop="1" x14ac:dyDescent="0.3"/>
  </sheetData>
  <sortState xmlns:xlrd2="http://schemas.microsoft.com/office/spreadsheetml/2017/richdata2" ref="A6:P49">
    <sortCondition ref="B6:B49"/>
  </sortState>
  <mergeCells count="1">
    <mergeCell ref="A2:K2"/>
  </mergeCells>
  <printOptions gridLines="1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rowBreaks count="2" manualBreakCount="2">
    <brk id="49" max="10" man="1"/>
    <brk id="105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122"/>
  <sheetViews>
    <sheetView view="pageBreakPreview" zoomScale="80" zoomScaleNormal="80" zoomScaleSheetLayoutView="80" workbookViewId="0">
      <pane xSplit="2" ySplit="3" topLeftCell="C100" activePane="bottomRight" state="frozen"/>
      <selection activeCell="B183" sqref="B183"/>
      <selection pane="topRight" activeCell="B183" sqref="B183"/>
      <selection pane="bottomLeft" activeCell="B183" sqref="B183"/>
      <selection pane="bottomRight" activeCell="A2" sqref="A2:K2"/>
    </sheetView>
  </sheetViews>
  <sheetFormatPr defaultColWidth="9.1796875" defaultRowHeight="13" x14ac:dyDescent="0.3"/>
  <cols>
    <col min="1" max="1" width="37.54296875" style="63" customWidth="1"/>
    <col min="2" max="2" width="53.81640625" style="63" customWidth="1"/>
    <col min="3" max="4" width="14.7265625" style="64" hidden="1" customWidth="1"/>
    <col min="5" max="5" width="14.7265625" style="64" customWidth="1"/>
    <col min="6" max="6" width="14.7265625" style="64" hidden="1" customWidth="1"/>
    <col min="7" max="7" width="14.7265625" style="64" customWidth="1"/>
    <col min="8" max="8" width="14.7265625" style="167" customWidth="1"/>
    <col min="9" max="9" width="14.7265625" style="64" customWidth="1"/>
    <col min="10" max="11" width="15.26953125" style="64" bestFit="1" customWidth="1"/>
    <col min="12" max="13" width="17" style="64" customWidth="1"/>
    <col min="14" max="14" width="14.6328125" style="63" customWidth="1"/>
    <col min="15" max="15" width="12.453125" style="63" bestFit="1" customWidth="1"/>
    <col min="16" max="16" width="11.26953125" style="63" bestFit="1" customWidth="1"/>
    <col min="17" max="16384" width="9.1796875" style="63"/>
  </cols>
  <sheetData>
    <row r="1" spans="1:16" ht="13.5" thickBot="1" x14ac:dyDescent="0.35">
      <c r="B1" s="215">
        <f>'2020 2021 ADJU BUDGET SUMMARY'!J24</f>
        <v>-58996.24570569396</v>
      </c>
      <c r="C1" s="64">
        <f>'2020 2021 ADJU BUDGET SUMMARY'!J24</f>
        <v>-58996.24570569396</v>
      </c>
      <c r="I1" s="216"/>
    </row>
    <row r="2" spans="1:16" ht="13.5" thickBot="1" x14ac:dyDescent="0.35">
      <c r="A2" s="244" t="s">
        <v>1368</v>
      </c>
      <c r="B2" s="245"/>
      <c r="C2" s="245"/>
      <c r="D2" s="245"/>
      <c r="E2" s="245"/>
      <c r="F2" s="245"/>
      <c r="G2" s="245"/>
      <c r="H2" s="245"/>
      <c r="I2" s="245"/>
      <c r="J2" s="245"/>
      <c r="K2" s="246"/>
    </row>
    <row r="3" spans="1:16" ht="39.5" thickBot="1" x14ac:dyDescent="0.35">
      <c r="A3" s="75" t="s">
        <v>0</v>
      </c>
      <c r="B3" s="75" t="s">
        <v>1</v>
      </c>
      <c r="C3" s="164" t="s">
        <v>673</v>
      </c>
      <c r="D3" s="164" t="s">
        <v>1224</v>
      </c>
      <c r="E3" s="164" t="s">
        <v>1225</v>
      </c>
      <c r="F3" s="164" t="s">
        <v>1289</v>
      </c>
      <c r="G3" s="163" t="s">
        <v>1329</v>
      </c>
      <c r="H3" s="168" t="s">
        <v>1289</v>
      </c>
      <c r="I3" s="163" t="s">
        <v>1330</v>
      </c>
      <c r="J3" s="163" t="s">
        <v>674</v>
      </c>
      <c r="K3" s="163" t="s">
        <v>675</v>
      </c>
      <c r="L3" s="163" t="s">
        <v>1350</v>
      </c>
      <c r="M3" s="163" t="s">
        <v>1346</v>
      </c>
      <c r="N3" s="163" t="s">
        <v>1331</v>
      </c>
    </row>
    <row r="4" spans="1:16" x14ac:dyDescent="0.3">
      <c r="A4" s="60"/>
      <c r="B4" s="60"/>
      <c r="C4" s="66"/>
      <c r="D4" s="66"/>
      <c r="E4" s="66"/>
      <c r="F4" s="66"/>
      <c r="G4" s="66"/>
      <c r="H4" s="193"/>
      <c r="I4" s="66"/>
      <c r="J4" s="66"/>
      <c r="K4" s="66"/>
      <c r="L4" s="53"/>
      <c r="M4" s="53"/>
      <c r="N4" s="52"/>
    </row>
    <row r="5" spans="1:16" x14ac:dyDescent="0.3">
      <c r="A5" s="60" t="s">
        <v>702</v>
      </c>
      <c r="B5" s="60"/>
      <c r="C5" s="66"/>
      <c r="D5" s="66"/>
      <c r="E5" s="66"/>
      <c r="F5" s="66"/>
      <c r="G5" s="66"/>
      <c r="H5" s="193"/>
      <c r="I5" s="66"/>
      <c r="J5" s="66"/>
      <c r="K5" s="66"/>
      <c r="L5" s="53"/>
      <c r="M5" s="53"/>
      <c r="N5" s="52"/>
    </row>
    <row r="6" spans="1:16" x14ac:dyDescent="0.3">
      <c r="A6" s="50" t="s">
        <v>75</v>
      </c>
      <c r="B6" s="50"/>
      <c r="C6" s="50"/>
      <c r="D6" s="50"/>
      <c r="E6" s="50"/>
      <c r="F6" s="50"/>
      <c r="G6" s="50"/>
      <c r="H6" s="169"/>
      <c r="I6" s="50"/>
      <c r="J6" s="50"/>
      <c r="K6" s="50"/>
      <c r="L6" s="53"/>
      <c r="M6" s="53"/>
      <c r="N6" s="52"/>
    </row>
    <row r="7" spans="1:16" x14ac:dyDescent="0.3">
      <c r="A7" s="51" t="s">
        <v>74</v>
      </c>
      <c r="B7" s="52"/>
      <c r="C7" s="53"/>
      <c r="D7" s="53"/>
      <c r="E7" s="53"/>
      <c r="F7" s="53"/>
      <c r="G7" s="53"/>
      <c r="H7" s="170"/>
      <c r="I7" s="53"/>
      <c r="J7" s="53"/>
      <c r="K7" s="53"/>
      <c r="L7" s="53"/>
      <c r="M7" s="53"/>
      <c r="N7" s="52"/>
    </row>
    <row r="8" spans="1:16" ht="13.5" thickBot="1" x14ac:dyDescent="0.35">
      <c r="A8" s="52" t="s">
        <v>454</v>
      </c>
      <c r="B8" s="52" t="s">
        <v>363</v>
      </c>
      <c r="C8" s="53">
        <v>-1760000</v>
      </c>
      <c r="D8" s="53"/>
      <c r="E8" s="53">
        <f>C8+D8</f>
        <v>-1760000</v>
      </c>
      <c r="F8" s="53"/>
      <c r="G8" s="53">
        <f t="shared" ref="G8" si="0">E8+F8</f>
        <v>-1760000</v>
      </c>
      <c r="H8" s="170"/>
      <c r="I8" s="69">
        <f>G8+H8</f>
        <v>-1760000</v>
      </c>
      <c r="J8" s="53"/>
      <c r="K8" s="53"/>
      <c r="L8" s="53">
        <v>-1429070.8</v>
      </c>
      <c r="M8" s="53"/>
      <c r="N8" s="53">
        <f>I8-L8-M8</f>
        <v>-330929.19999999995</v>
      </c>
    </row>
    <row r="9" spans="1:16" s="77" customFormat="1" ht="13.5" thickBot="1" x14ac:dyDescent="0.35">
      <c r="A9" s="57" t="s">
        <v>202</v>
      </c>
      <c r="B9" s="57"/>
      <c r="C9" s="59">
        <f>SUM(C8:C8)</f>
        <v>-1760000</v>
      </c>
      <c r="D9" s="59">
        <f t="shared" ref="D9:N9" si="1">SUM(D8:D8)</f>
        <v>0</v>
      </c>
      <c r="E9" s="59">
        <f t="shared" si="1"/>
        <v>-1760000</v>
      </c>
      <c r="F9" s="59">
        <f t="shared" si="1"/>
        <v>0</v>
      </c>
      <c r="G9" s="59">
        <f t="shared" si="1"/>
        <v>-1760000</v>
      </c>
      <c r="H9" s="171">
        <f t="shared" si="1"/>
        <v>0</v>
      </c>
      <c r="I9" s="59">
        <f t="shared" si="1"/>
        <v>-1760000</v>
      </c>
      <c r="J9" s="59">
        <f t="shared" si="1"/>
        <v>0</v>
      </c>
      <c r="K9" s="59">
        <f t="shared" si="1"/>
        <v>0</v>
      </c>
      <c r="L9" s="59">
        <f t="shared" si="1"/>
        <v>-1429070.8</v>
      </c>
      <c r="M9" s="59"/>
      <c r="N9" s="59">
        <f t="shared" si="1"/>
        <v>-330929.19999999995</v>
      </c>
    </row>
    <row r="10" spans="1:16" s="77" customFormat="1" ht="14" thickTop="1" thickBot="1" x14ac:dyDescent="0.35">
      <c r="A10" s="74"/>
      <c r="B10" s="74"/>
      <c r="C10" s="80"/>
      <c r="D10" s="80"/>
      <c r="E10" s="80"/>
      <c r="F10" s="80"/>
      <c r="G10" s="80"/>
      <c r="H10" s="205"/>
      <c r="I10" s="80"/>
      <c r="J10" s="80"/>
      <c r="K10" s="80"/>
      <c r="L10" s="67"/>
      <c r="M10" s="67"/>
      <c r="N10" s="51"/>
    </row>
    <row r="11" spans="1:16" s="77" customFormat="1" ht="13.5" thickBot="1" x14ac:dyDescent="0.35">
      <c r="A11" s="57" t="s">
        <v>81</v>
      </c>
      <c r="B11" s="57"/>
      <c r="C11" s="59">
        <f t="shared" ref="C11:N11" si="2">C9</f>
        <v>-1760000</v>
      </c>
      <c r="D11" s="59">
        <f t="shared" si="2"/>
        <v>0</v>
      </c>
      <c r="E11" s="59">
        <f t="shared" si="2"/>
        <v>-1760000</v>
      </c>
      <c r="F11" s="59">
        <f t="shared" si="2"/>
        <v>0</v>
      </c>
      <c r="G11" s="59">
        <f t="shared" si="2"/>
        <v>-1760000</v>
      </c>
      <c r="H11" s="171">
        <f t="shared" si="2"/>
        <v>0</v>
      </c>
      <c r="I11" s="59">
        <f t="shared" si="2"/>
        <v>-1760000</v>
      </c>
      <c r="J11" s="59">
        <f t="shared" si="2"/>
        <v>0</v>
      </c>
      <c r="K11" s="59">
        <f t="shared" si="2"/>
        <v>0</v>
      </c>
      <c r="L11" s="59">
        <f t="shared" si="2"/>
        <v>-1429070.8</v>
      </c>
      <c r="M11" s="59"/>
      <c r="N11" s="59">
        <f t="shared" si="2"/>
        <v>-330929.19999999995</v>
      </c>
    </row>
    <row r="12" spans="1:16" s="77" customFormat="1" ht="13.5" thickTop="1" x14ac:dyDescent="0.3">
      <c r="A12" s="60"/>
      <c r="B12" s="60"/>
      <c r="C12" s="78"/>
      <c r="D12" s="78"/>
      <c r="E12" s="78"/>
      <c r="F12" s="78"/>
      <c r="G12" s="53">
        <f t="shared" ref="G12:G76" si="3">E12+F12</f>
        <v>0</v>
      </c>
      <c r="H12" s="172"/>
      <c r="I12" s="62"/>
      <c r="J12" s="78"/>
      <c r="K12" s="78"/>
      <c r="L12" s="67"/>
      <c r="M12" s="67"/>
      <c r="N12" s="51"/>
    </row>
    <row r="13" spans="1:16" x14ac:dyDescent="0.3">
      <c r="A13" s="51" t="s">
        <v>460</v>
      </c>
      <c r="B13" s="52"/>
      <c r="C13" s="53">
        <v>0</v>
      </c>
      <c r="D13" s="53"/>
      <c r="E13" s="53"/>
      <c r="F13" s="53"/>
      <c r="G13" s="53">
        <f t="shared" si="3"/>
        <v>0</v>
      </c>
      <c r="H13" s="170"/>
      <c r="I13" s="53"/>
      <c r="J13" s="53"/>
      <c r="K13" s="53"/>
      <c r="L13" s="53"/>
      <c r="M13" s="53"/>
      <c r="N13" s="52"/>
    </row>
    <row r="14" spans="1:16" x14ac:dyDescent="0.3">
      <c r="A14" s="52"/>
      <c r="B14" s="51" t="s">
        <v>486</v>
      </c>
      <c r="C14" s="53"/>
      <c r="D14" s="53"/>
      <c r="E14" s="53"/>
      <c r="F14" s="53"/>
      <c r="G14" s="53">
        <f t="shared" si="3"/>
        <v>0</v>
      </c>
      <c r="H14" s="170"/>
      <c r="I14" s="53"/>
      <c r="J14" s="53"/>
      <c r="K14" s="53"/>
      <c r="L14" s="53"/>
      <c r="M14" s="53"/>
      <c r="N14" s="52"/>
      <c r="O14" s="93"/>
      <c r="P14" s="93"/>
    </row>
    <row r="15" spans="1:16" x14ac:dyDescent="0.3">
      <c r="A15" s="52" t="s">
        <v>444</v>
      </c>
      <c r="B15" s="52" t="s">
        <v>428</v>
      </c>
      <c r="C15" s="53">
        <v>50000</v>
      </c>
      <c r="D15" s="53"/>
      <c r="E15" s="53">
        <f t="shared" ref="E15:E87" si="4">C15+D15</f>
        <v>50000</v>
      </c>
      <c r="F15" s="53"/>
      <c r="G15" s="53">
        <f t="shared" si="3"/>
        <v>50000</v>
      </c>
      <c r="H15" s="170">
        <v>-20000</v>
      </c>
      <c r="I15" s="69">
        <f t="shared" ref="I15:I31" si="5">G15+H15</f>
        <v>30000</v>
      </c>
      <c r="J15" s="53">
        <f t="shared" ref="J15:J26" si="6">C15*104.6%</f>
        <v>52300</v>
      </c>
      <c r="K15" s="53">
        <f t="shared" ref="K15" si="7">J15*104.6%</f>
        <v>54705.8</v>
      </c>
      <c r="L15" s="53">
        <v>-0.09</v>
      </c>
      <c r="M15" s="53">
        <v>3366</v>
      </c>
      <c r="N15" s="53">
        <f t="shared" ref="N15:N45" si="8">I15-L15-M15</f>
        <v>26634.09</v>
      </c>
    </row>
    <row r="16" spans="1:16" x14ac:dyDescent="0.3">
      <c r="A16" s="52" t="s">
        <v>584</v>
      </c>
      <c r="B16" s="52" t="s">
        <v>583</v>
      </c>
      <c r="C16" s="53">
        <v>0</v>
      </c>
      <c r="D16" s="53"/>
      <c r="E16" s="53">
        <f t="shared" si="4"/>
        <v>0</v>
      </c>
      <c r="F16" s="53"/>
      <c r="G16" s="53">
        <f t="shared" si="3"/>
        <v>0</v>
      </c>
      <c r="H16" s="170"/>
      <c r="I16" s="69">
        <f t="shared" si="5"/>
        <v>0</v>
      </c>
      <c r="J16" s="53">
        <f t="shared" si="6"/>
        <v>0</v>
      </c>
      <c r="K16" s="53">
        <f t="shared" ref="K16:K45" si="9">J16*104.6%</f>
        <v>0</v>
      </c>
      <c r="L16" s="53"/>
      <c r="M16" s="53"/>
      <c r="N16" s="53">
        <f t="shared" si="8"/>
        <v>0</v>
      </c>
    </row>
    <row r="17" spans="1:14" x14ac:dyDescent="0.3">
      <c r="A17" s="52" t="s">
        <v>1206</v>
      </c>
      <c r="B17" s="52" t="s">
        <v>1207</v>
      </c>
      <c r="C17" s="53">
        <v>150000</v>
      </c>
      <c r="D17" s="53"/>
      <c r="E17" s="53">
        <f t="shared" si="4"/>
        <v>150000</v>
      </c>
      <c r="F17" s="53"/>
      <c r="G17" s="53">
        <f t="shared" si="3"/>
        <v>150000</v>
      </c>
      <c r="H17" s="170">
        <v>39700</v>
      </c>
      <c r="I17" s="69">
        <f t="shared" si="5"/>
        <v>189700</v>
      </c>
      <c r="J17" s="53">
        <f t="shared" si="6"/>
        <v>156900</v>
      </c>
      <c r="K17" s="53">
        <f t="shared" si="9"/>
        <v>164117.4</v>
      </c>
      <c r="L17" s="53">
        <v>189700</v>
      </c>
      <c r="M17" s="53"/>
      <c r="N17" s="53">
        <f t="shared" si="8"/>
        <v>0</v>
      </c>
    </row>
    <row r="18" spans="1:14" x14ac:dyDescent="0.3">
      <c r="A18" s="52"/>
      <c r="B18" s="51" t="s">
        <v>487</v>
      </c>
      <c r="C18" s="53">
        <v>0</v>
      </c>
      <c r="D18" s="53"/>
      <c r="E18" s="53">
        <f t="shared" si="4"/>
        <v>0</v>
      </c>
      <c r="F18" s="53"/>
      <c r="G18" s="53">
        <f t="shared" si="3"/>
        <v>0</v>
      </c>
      <c r="H18" s="170"/>
      <c r="I18" s="69">
        <f t="shared" si="5"/>
        <v>0</v>
      </c>
      <c r="J18" s="53">
        <f t="shared" si="6"/>
        <v>0</v>
      </c>
      <c r="K18" s="53">
        <f t="shared" si="9"/>
        <v>0</v>
      </c>
      <c r="L18" s="53"/>
      <c r="M18" s="53"/>
      <c r="N18" s="53">
        <f t="shared" si="8"/>
        <v>0</v>
      </c>
    </row>
    <row r="19" spans="1:14" x14ac:dyDescent="0.3">
      <c r="A19" s="56" t="s">
        <v>429</v>
      </c>
      <c r="B19" s="56" t="s">
        <v>1180</v>
      </c>
      <c r="C19" s="53">
        <v>200000</v>
      </c>
      <c r="D19" s="53"/>
      <c r="E19" s="53">
        <f t="shared" si="4"/>
        <v>200000</v>
      </c>
      <c r="F19" s="53"/>
      <c r="G19" s="53">
        <f t="shared" si="3"/>
        <v>200000</v>
      </c>
      <c r="H19" s="170">
        <v>-200000</v>
      </c>
      <c r="I19" s="69">
        <f t="shared" si="5"/>
        <v>0</v>
      </c>
      <c r="J19" s="53">
        <f t="shared" si="6"/>
        <v>209200</v>
      </c>
      <c r="K19" s="53">
        <f t="shared" si="9"/>
        <v>218823.2</v>
      </c>
      <c r="L19" s="53"/>
      <c r="M19" s="53"/>
      <c r="N19" s="53">
        <f t="shared" si="8"/>
        <v>0</v>
      </c>
    </row>
    <row r="20" spans="1:14" x14ac:dyDescent="0.3">
      <c r="A20" s="52" t="s">
        <v>365</v>
      </c>
      <c r="B20" s="52" t="s">
        <v>1175</v>
      </c>
      <c r="C20" s="53">
        <v>900000</v>
      </c>
      <c r="D20" s="53">
        <v>-300000</v>
      </c>
      <c r="E20" s="53">
        <f t="shared" si="4"/>
        <v>600000</v>
      </c>
      <c r="F20" s="53"/>
      <c r="G20" s="53">
        <f t="shared" si="3"/>
        <v>600000</v>
      </c>
      <c r="H20" s="170">
        <f>400000+100000+43685.86</f>
        <v>543685.86</v>
      </c>
      <c r="I20" s="69">
        <f t="shared" si="5"/>
        <v>1143685.8599999999</v>
      </c>
      <c r="J20" s="53">
        <f t="shared" si="6"/>
        <v>941400</v>
      </c>
      <c r="K20" s="53">
        <f t="shared" si="9"/>
        <v>984704.4</v>
      </c>
      <c r="L20" s="53">
        <v>525843.61</v>
      </c>
      <c r="M20" s="53">
        <v>270077.5</v>
      </c>
      <c r="N20" s="53">
        <f t="shared" si="8"/>
        <v>347764.74999999988</v>
      </c>
    </row>
    <row r="21" spans="1:14" x14ac:dyDescent="0.3">
      <c r="A21" s="52" t="s">
        <v>1177</v>
      </c>
      <c r="B21" s="52" t="s">
        <v>1187</v>
      </c>
      <c r="C21" s="53">
        <v>400000</v>
      </c>
      <c r="D21" s="53"/>
      <c r="E21" s="53">
        <f t="shared" si="4"/>
        <v>400000</v>
      </c>
      <c r="F21" s="53"/>
      <c r="G21" s="53">
        <f t="shared" si="3"/>
        <v>400000</v>
      </c>
      <c r="H21" s="170">
        <v>-180000</v>
      </c>
      <c r="I21" s="69">
        <f t="shared" si="5"/>
        <v>220000</v>
      </c>
      <c r="J21" s="53">
        <f t="shared" si="6"/>
        <v>418400</v>
      </c>
      <c r="K21" s="53">
        <f t="shared" si="9"/>
        <v>437646.4</v>
      </c>
      <c r="L21" s="53">
        <v>0</v>
      </c>
      <c r="M21" s="53"/>
      <c r="N21" s="53">
        <f t="shared" si="8"/>
        <v>220000</v>
      </c>
    </row>
    <row r="22" spans="1:14" x14ac:dyDescent="0.3">
      <c r="A22" s="52" t="s">
        <v>1181</v>
      </c>
      <c r="B22" s="52" t="s">
        <v>1182</v>
      </c>
      <c r="C22" s="53">
        <v>750000</v>
      </c>
      <c r="D22" s="53">
        <v>320000</v>
      </c>
      <c r="E22" s="53">
        <f t="shared" si="4"/>
        <v>1070000</v>
      </c>
      <c r="F22" s="53"/>
      <c r="G22" s="53">
        <f t="shared" si="3"/>
        <v>1070000</v>
      </c>
      <c r="H22" s="170">
        <v>-604815</v>
      </c>
      <c r="I22" s="69">
        <f t="shared" si="5"/>
        <v>465185</v>
      </c>
      <c r="J22" s="53">
        <f t="shared" si="6"/>
        <v>784500</v>
      </c>
      <c r="K22" s="53">
        <f t="shared" si="9"/>
        <v>820587</v>
      </c>
      <c r="L22" s="53">
        <v>285185</v>
      </c>
      <c r="M22" s="53"/>
      <c r="N22" s="53">
        <f t="shared" si="8"/>
        <v>180000</v>
      </c>
    </row>
    <row r="23" spans="1:14" x14ac:dyDescent="0.3">
      <c r="A23" s="52" t="s">
        <v>1188</v>
      </c>
      <c r="B23" s="52" t="s">
        <v>1183</v>
      </c>
      <c r="C23" s="53">
        <v>300000</v>
      </c>
      <c r="D23" s="53">
        <v>-100000</v>
      </c>
      <c r="E23" s="53">
        <f t="shared" si="4"/>
        <v>200000</v>
      </c>
      <c r="F23" s="53"/>
      <c r="G23" s="53">
        <f t="shared" si="3"/>
        <v>200000</v>
      </c>
      <c r="H23" s="170">
        <v>-200000</v>
      </c>
      <c r="I23" s="69">
        <f t="shared" si="5"/>
        <v>0</v>
      </c>
      <c r="J23" s="53">
        <f t="shared" si="6"/>
        <v>313800</v>
      </c>
      <c r="K23" s="53">
        <f t="shared" si="9"/>
        <v>328234.8</v>
      </c>
      <c r="L23" s="53">
        <v>0</v>
      </c>
      <c r="M23" s="53"/>
      <c r="N23" s="53">
        <f t="shared" si="8"/>
        <v>0</v>
      </c>
    </row>
    <row r="24" spans="1:14" x14ac:dyDescent="0.3">
      <c r="A24" s="52" t="s">
        <v>1189</v>
      </c>
      <c r="B24" s="52" t="s">
        <v>1184</v>
      </c>
      <c r="C24" s="53">
        <v>300000</v>
      </c>
      <c r="D24" s="53">
        <v>-100000</v>
      </c>
      <c r="E24" s="53">
        <f t="shared" si="4"/>
        <v>200000</v>
      </c>
      <c r="F24" s="53"/>
      <c r="G24" s="53">
        <f t="shared" si="3"/>
        <v>200000</v>
      </c>
      <c r="H24" s="170">
        <v>-200000</v>
      </c>
      <c r="I24" s="69">
        <f t="shared" si="5"/>
        <v>0</v>
      </c>
      <c r="J24" s="53">
        <f t="shared" si="6"/>
        <v>313800</v>
      </c>
      <c r="K24" s="53">
        <f t="shared" si="9"/>
        <v>328234.8</v>
      </c>
      <c r="L24" s="53">
        <v>0</v>
      </c>
      <c r="M24" s="53"/>
      <c r="N24" s="53">
        <f t="shared" si="8"/>
        <v>0</v>
      </c>
    </row>
    <row r="25" spans="1:14" x14ac:dyDescent="0.3">
      <c r="A25" s="52" t="s">
        <v>1190</v>
      </c>
      <c r="B25" s="52" t="s">
        <v>1185</v>
      </c>
      <c r="C25" s="53">
        <v>300000</v>
      </c>
      <c r="D25" s="53">
        <v>-100000</v>
      </c>
      <c r="E25" s="53">
        <f t="shared" si="4"/>
        <v>200000</v>
      </c>
      <c r="F25" s="53"/>
      <c r="G25" s="53">
        <f t="shared" si="3"/>
        <v>200000</v>
      </c>
      <c r="H25" s="170">
        <v>-200000</v>
      </c>
      <c r="I25" s="69">
        <f t="shared" si="5"/>
        <v>0</v>
      </c>
      <c r="J25" s="53">
        <f t="shared" si="6"/>
        <v>313800</v>
      </c>
      <c r="K25" s="53">
        <f t="shared" si="9"/>
        <v>328234.8</v>
      </c>
      <c r="L25" s="53">
        <v>0</v>
      </c>
      <c r="M25" s="53"/>
      <c r="N25" s="53">
        <f t="shared" si="8"/>
        <v>0</v>
      </c>
    </row>
    <row r="26" spans="1:14" x14ac:dyDescent="0.3">
      <c r="A26" s="52" t="s">
        <v>1191</v>
      </c>
      <c r="B26" s="52" t="s">
        <v>1186</v>
      </c>
      <c r="C26" s="53">
        <v>300000</v>
      </c>
      <c r="D26" s="53">
        <v>-90000</v>
      </c>
      <c r="E26" s="53">
        <f t="shared" si="4"/>
        <v>210000</v>
      </c>
      <c r="F26" s="53"/>
      <c r="G26" s="53">
        <f t="shared" si="3"/>
        <v>210000</v>
      </c>
      <c r="H26" s="170">
        <v>-210000</v>
      </c>
      <c r="I26" s="69">
        <f t="shared" si="5"/>
        <v>0</v>
      </c>
      <c r="J26" s="53">
        <f t="shared" si="6"/>
        <v>313800</v>
      </c>
      <c r="K26" s="53">
        <f t="shared" si="9"/>
        <v>328234.8</v>
      </c>
      <c r="L26" s="53">
        <v>0</v>
      </c>
      <c r="M26" s="53"/>
      <c r="N26" s="53">
        <f t="shared" si="8"/>
        <v>0</v>
      </c>
    </row>
    <row r="27" spans="1:14" x14ac:dyDescent="0.3">
      <c r="A27" s="52" t="s">
        <v>1240</v>
      </c>
      <c r="B27" s="52" t="s">
        <v>1226</v>
      </c>
      <c r="C27" s="53"/>
      <c r="D27" s="53">
        <v>41000</v>
      </c>
      <c r="E27" s="53">
        <f t="shared" si="4"/>
        <v>41000</v>
      </c>
      <c r="F27" s="53"/>
      <c r="G27" s="53">
        <f t="shared" si="3"/>
        <v>41000</v>
      </c>
      <c r="H27" s="170">
        <v>-41000</v>
      </c>
      <c r="I27" s="69">
        <f t="shared" si="5"/>
        <v>0</v>
      </c>
      <c r="J27" s="53"/>
      <c r="K27" s="53"/>
      <c r="L27" s="53">
        <v>0</v>
      </c>
      <c r="M27" s="53"/>
      <c r="N27" s="53">
        <f t="shared" si="8"/>
        <v>0</v>
      </c>
    </row>
    <row r="28" spans="1:14" x14ac:dyDescent="0.3">
      <c r="A28" s="52" t="s">
        <v>455</v>
      </c>
      <c r="B28" s="52" t="s">
        <v>366</v>
      </c>
      <c r="C28" s="53">
        <v>850000</v>
      </c>
      <c r="D28" s="53"/>
      <c r="E28" s="53">
        <f t="shared" si="4"/>
        <v>850000</v>
      </c>
      <c r="F28" s="53"/>
      <c r="G28" s="53">
        <f t="shared" si="3"/>
        <v>850000</v>
      </c>
      <c r="H28" s="170"/>
      <c r="I28" s="69">
        <f t="shared" si="5"/>
        <v>850000</v>
      </c>
      <c r="J28" s="53">
        <f>C28*104.6%</f>
        <v>889100</v>
      </c>
      <c r="K28" s="53">
        <f t="shared" si="9"/>
        <v>929998.60000000009</v>
      </c>
      <c r="L28" s="53">
        <v>475461.25</v>
      </c>
      <c r="M28" s="53">
        <v>120610.76</v>
      </c>
      <c r="N28" s="53">
        <f t="shared" si="8"/>
        <v>253927.99</v>
      </c>
    </row>
    <row r="29" spans="1:14" x14ac:dyDescent="0.3">
      <c r="A29" s="52" t="s">
        <v>561</v>
      </c>
      <c r="B29" s="52" t="s">
        <v>1178</v>
      </c>
      <c r="C29" s="53">
        <v>1400000</v>
      </c>
      <c r="D29" s="53"/>
      <c r="E29" s="53">
        <f t="shared" si="4"/>
        <v>1400000</v>
      </c>
      <c r="F29" s="53"/>
      <c r="G29" s="53">
        <f t="shared" si="3"/>
        <v>1400000</v>
      </c>
      <c r="H29" s="170">
        <f>2508325.62-239861.65-519150.14</f>
        <v>1749313.83</v>
      </c>
      <c r="I29" s="69">
        <f t="shared" si="5"/>
        <v>3149313.83</v>
      </c>
      <c r="J29" s="53">
        <f>C29*104.6%</f>
        <v>1464400</v>
      </c>
      <c r="K29" s="53">
        <f t="shared" si="9"/>
        <v>1531762.4000000001</v>
      </c>
      <c r="L29" s="53">
        <v>3149313.83</v>
      </c>
      <c r="M29" s="53"/>
      <c r="N29" s="53">
        <f t="shared" si="8"/>
        <v>0</v>
      </c>
    </row>
    <row r="30" spans="1:14" x14ac:dyDescent="0.3">
      <c r="A30" s="52" t="s">
        <v>459</v>
      </c>
      <c r="B30" s="52" t="s">
        <v>1179</v>
      </c>
      <c r="C30" s="53">
        <v>700000</v>
      </c>
      <c r="D30" s="53"/>
      <c r="E30" s="53">
        <f t="shared" si="4"/>
        <v>700000</v>
      </c>
      <c r="F30" s="53"/>
      <c r="G30" s="53">
        <f t="shared" si="3"/>
        <v>700000</v>
      </c>
      <c r="H30" s="170">
        <v>-154498.82999999999</v>
      </c>
      <c r="I30" s="69">
        <f t="shared" si="5"/>
        <v>545501.17000000004</v>
      </c>
      <c r="J30" s="53">
        <f>C30*104.6%</f>
        <v>732200</v>
      </c>
      <c r="K30" s="53">
        <f t="shared" si="9"/>
        <v>765881.20000000007</v>
      </c>
      <c r="L30" s="53">
        <v>236841.93</v>
      </c>
      <c r="M30" s="53">
        <v>38532.21</v>
      </c>
      <c r="N30" s="53">
        <f t="shared" si="8"/>
        <v>270127.03000000003</v>
      </c>
    </row>
    <row r="31" spans="1:14" x14ac:dyDescent="0.3">
      <c r="A31" s="52" t="s">
        <v>1314</v>
      </c>
      <c r="B31" s="52" t="s">
        <v>1315</v>
      </c>
      <c r="C31" s="53"/>
      <c r="D31" s="53"/>
      <c r="E31" s="53"/>
      <c r="F31" s="53">
        <v>14000000</v>
      </c>
      <c r="G31" s="53">
        <f t="shared" si="3"/>
        <v>14000000</v>
      </c>
      <c r="H31" s="170"/>
      <c r="I31" s="69">
        <f t="shared" si="5"/>
        <v>14000000</v>
      </c>
      <c r="J31" s="53"/>
      <c r="K31" s="53"/>
      <c r="L31" s="53">
        <v>1849802.37</v>
      </c>
      <c r="M31" s="53"/>
      <c r="N31" s="53">
        <f t="shared" si="8"/>
        <v>12150197.629999999</v>
      </c>
    </row>
    <row r="32" spans="1:14" x14ac:dyDescent="0.3">
      <c r="A32" s="52"/>
      <c r="B32" s="52"/>
      <c r="C32" s="53"/>
      <c r="D32" s="53"/>
      <c r="E32" s="53"/>
      <c r="F32" s="53"/>
      <c r="G32" s="53"/>
      <c r="H32" s="170"/>
      <c r="I32" s="69"/>
      <c r="J32" s="53"/>
      <c r="K32" s="53"/>
      <c r="L32" s="53"/>
      <c r="M32" s="53"/>
      <c r="N32" s="53"/>
    </row>
    <row r="33" spans="1:14" x14ac:dyDescent="0.3">
      <c r="A33" s="52" t="s">
        <v>368</v>
      </c>
      <c r="B33" s="52" t="s">
        <v>225</v>
      </c>
      <c r="C33" s="53">
        <v>25000</v>
      </c>
      <c r="D33" s="53"/>
      <c r="E33" s="53">
        <f t="shared" si="4"/>
        <v>25000</v>
      </c>
      <c r="F33" s="53"/>
      <c r="G33" s="53">
        <f t="shared" si="3"/>
        <v>25000</v>
      </c>
      <c r="H33" s="170"/>
      <c r="I33" s="69">
        <f t="shared" ref="I33:I45" si="10">G33+H33</f>
        <v>25000</v>
      </c>
      <c r="J33" s="53">
        <f t="shared" ref="J33:J38" si="11">C33*104.6%</f>
        <v>26150</v>
      </c>
      <c r="K33" s="53">
        <f t="shared" si="9"/>
        <v>27352.9</v>
      </c>
      <c r="L33" s="53">
        <v>2150</v>
      </c>
      <c r="M33" s="53"/>
      <c r="N33" s="53">
        <f t="shared" si="8"/>
        <v>22850</v>
      </c>
    </row>
    <row r="34" spans="1:14" x14ac:dyDescent="0.3">
      <c r="A34" s="52"/>
      <c r="B34" s="52"/>
      <c r="C34" s="53">
        <v>0</v>
      </c>
      <c r="D34" s="53"/>
      <c r="E34" s="53">
        <f t="shared" si="4"/>
        <v>0</v>
      </c>
      <c r="F34" s="53"/>
      <c r="G34" s="53">
        <f t="shared" si="3"/>
        <v>0</v>
      </c>
      <c r="H34" s="170"/>
      <c r="I34" s="69">
        <f t="shared" si="10"/>
        <v>0</v>
      </c>
      <c r="J34" s="53">
        <f t="shared" si="11"/>
        <v>0</v>
      </c>
      <c r="K34" s="53">
        <f t="shared" si="9"/>
        <v>0</v>
      </c>
      <c r="L34" s="53"/>
      <c r="M34" s="53"/>
      <c r="N34" s="53">
        <f t="shared" si="8"/>
        <v>0</v>
      </c>
    </row>
    <row r="35" spans="1:14" x14ac:dyDescent="0.3">
      <c r="A35" s="52"/>
      <c r="B35" s="51" t="s">
        <v>480</v>
      </c>
      <c r="C35" s="53">
        <v>0</v>
      </c>
      <c r="D35" s="53"/>
      <c r="E35" s="53">
        <f t="shared" si="4"/>
        <v>0</v>
      </c>
      <c r="F35" s="53"/>
      <c r="G35" s="53">
        <f t="shared" si="3"/>
        <v>0</v>
      </c>
      <c r="H35" s="170"/>
      <c r="I35" s="69">
        <f t="shared" si="10"/>
        <v>0</v>
      </c>
      <c r="J35" s="53">
        <f t="shared" si="11"/>
        <v>0</v>
      </c>
      <c r="K35" s="53">
        <f t="shared" si="9"/>
        <v>0</v>
      </c>
      <c r="L35" s="53"/>
      <c r="M35" s="53"/>
      <c r="N35" s="53">
        <f t="shared" si="8"/>
        <v>0</v>
      </c>
    </row>
    <row r="36" spans="1:14" x14ac:dyDescent="0.3">
      <c r="A36" s="52" t="s">
        <v>367</v>
      </c>
      <c r="B36" s="52" t="s">
        <v>46</v>
      </c>
      <c r="C36" s="53">
        <v>15000</v>
      </c>
      <c r="D36" s="53"/>
      <c r="E36" s="53">
        <f t="shared" si="4"/>
        <v>15000</v>
      </c>
      <c r="F36" s="53"/>
      <c r="G36" s="53">
        <f t="shared" si="3"/>
        <v>15000</v>
      </c>
      <c r="H36" s="170"/>
      <c r="I36" s="69">
        <f t="shared" si="10"/>
        <v>15000</v>
      </c>
      <c r="J36" s="53">
        <f t="shared" si="11"/>
        <v>15690</v>
      </c>
      <c r="K36" s="53">
        <f t="shared" si="9"/>
        <v>16411.740000000002</v>
      </c>
      <c r="L36" s="53">
        <v>5266.48</v>
      </c>
      <c r="M36" s="53"/>
      <c r="N36" s="53">
        <f t="shared" si="8"/>
        <v>9733.52</v>
      </c>
    </row>
    <row r="37" spans="1:14" x14ac:dyDescent="0.3">
      <c r="A37" s="52" t="s">
        <v>370</v>
      </c>
      <c r="B37" s="52" t="s">
        <v>371</v>
      </c>
      <c r="C37" s="53">
        <v>15000</v>
      </c>
      <c r="D37" s="53"/>
      <c r="E37" s="53">
        <f t="shared" si="4"/>
        <v>15000</v>
      </c>
      <c r="F37" s="53"/>
      <c r="G37" s="53">
        <f t="shared" si="3"/>
        <v>15000</v>
      </c>
      <c r="H37" s="170"/>
      <c r="I37" s="69">
        <f t="shared" si="10"/>
        <v>15000</v>
      </c>
      <c r="J37" s="53">
        <f t="shared" si="11"/>
        <v>15690</v>
      </c>
      <c r="K37" s="53">
        <f t="shared" si="9"/>
        <v>16411.740000000002</v>
      </c>
      <c r="L37" s="53"/>
      <c r="M37" s="53"/>
      <c r="N37" s="53">
        <f t="shared" si="8"/>
        <v>15000</v>
      </c>
    </row>
    <row r="38" spans="1:14" x14ac:dyDescent="0.3">
      <c r="A38" s="52" t="s">
        <v>555</v>
      </c>
      <c r="B38" s="52" t="s">
        <v>527</v>
      </c>
      <c r="C38" s="53">
        <v>10000</v>
      </c>
      <c r="D38" s="53"/>
      <c r="E38" s="53">
        <f t="shared" si="4"/>
        <v>10000</v>
      </c>
      <c r="F38" s="53"/>
      <c r="G38" s="53">
        <f t="shared" si="3"/>
        <v>10000</v>
      </c>
      <c r="H38" s="170"/>
      <c r="I38" s="69">
        <f t="shared" si="10"/>
        <v>10000</v>
      </c>
      <c r="J38" s="53">
        <f t="shared" si="11"/>
        <v>10460</v>
      </c>
      <c r="K38" s="53">
        <f t="shared" si="9"/>
        <v>10941.16</v>
      </c>
      <c r="L38" s="53"/>
      <c r="M38" s="53"/>
      <c r="N38" s="53">
        <f t="shared" si="8"/>
        <v>10000</v>
      </c>
    </row>
    <row r="39" spans="1:14" s="77" customFormat="1" x14ac:dyDescent="0.3">
      <c r="A39" s="51" t="s">
        <v>1344</v>
      </c>
      <c r="B39" s="51" t="s">
        <v>1345</v>
      </c>
      <c r="C39" s="67"/>
      <c r="D39" s="67"/>
      <c r="E39" s="67"/>
      <c r="F39" s="67"/>
      <c r="G39" s="67"/>
      <c r="H39" s="233">
        <v>60161.650399999991</v>
      </c>
      <c r="I39" s="83">
        <f t="shared" si="10"/>
        <v>60161.650399999991</v>
      </c>
      <c r="J39" s="67"/>
      <c r="K39" s="67"/>
      <c r="L39" s="67">
        <v>28495.17</v>
      </c>
      <c r="M39" s="67"/>
      <c r="N39" s="67">
        <f t="shared" si="8"/>
        <v>31666.480399999993</v>
      </c>
    </row>
    <row r="40" spans="1:14" x14ac:dyDescent="0.3">
      <c r="A40" s="52"/>
      <c r="B40" s="52"/>
      <c r="C40" s="53"/>
      <c r="D40" s="53"/>
      <c r="E40" s="53">
        <f t="shared" si="4"/>
        <v>0</v>
      </c>
      <c r="F40" s="53"/>
      <c r="G40" s="53">
        <f t="shared" si="3"/>
        <v>0</v>
      </c>
      <c r="H40" s="170"/>
      <c r="I40" s="69">
        <f t="shared" si="10"/>
        <v>0</v>
      </c>
      <c r="J40" s="53"/>
      <c r="K40" s="53"/>
      <c r="L40" s="53"/>
      <c r="M40" s="53"/>
      <c r="N40" s="53">
        <f t="shared" si="8"/>
        <v>0</v>
      </c>
    </row>
    <row r="41" spans="1:14" x14ac:dyDescent="0.3">
      <c r="A41" s="52" t="s">
        <v>1174</v>
      </c>
      <c r="B41" s="52" t="s">
        <v>1173</v>
      </c>
      <c r="C41" s="53">
        <v>700000</v>
      </c>
      <c r="D41" s="53">
        <v>-700000</v>
      </c>
      <c r="E41" s="53">
        <f t="shared" si="4"/>
        <v>0</v>
      </c>
      <c r="F41" s="53"/>
      <c r="G41" s="53">
        <f t="shared" si="3"/>
        <v>0</v>
      </c>
      <c r="H41" s="170"/>
      <c r="I41" s="69">
        <f t="shared" si="10"/>
        <v>0</v>
      </c>
      <c r="J41" s="53">
        <f>C41*104.6%</f>
        <v>732200</v>
      </c>
      <c r="K41" s="53">
        <f t="shared" ref="K41" si="12">J41*104.6%</f>
        <v>765881.20000000007</v>
      </c>
      <c r="L41" s="53"/>
      <c r="M41" s="53"/>
      <c r="N41" s="53">
        <f t="shared" si="8"/>
        <v>0</v>
      </c>
    </row>
    <row r="42" spans="1:14" x14ac:dyDescent="0.3">
      <c r="A42" s="52" t="s">
        <v>1153</v>
      </c>
      <c r="B42" s="52" t="s">
        <v>867</v>
      </c>
      <c r="C42" s="53">
        <v>100000</v>
      </c>
      <c r="D42" s="53"/>
      <c r="E42" s="53">
        <f t="shared" si="4"/>
        <v>100000</v>
      </c>
      <c r="F42" s="53"/>
      <c r="G42" s="53">
        <f t="shared" si="3"/>
        <v>100000</v>
      </c>
      <c r="H42" s="170">
        <v>-100000</v>
      </c>
      <c r="I42" s="69">
        <f t="shared" si="10"/>
        <v>0</v>
      </c>
      <c r="J42" s="53">
        <f>C42*104.6%</f>
        <v>104600</v>
      </c>
      <c r="K42" s="53">
        <f t="shared" si="9"/>
        <v>109411.6</v>
      </c>
      <c r="L42" s="53"/>
      <c r="M42" s="53"/>
      <c r="N42" s="53">
        <f t="shared" si="8"/>
        <v>0</v>
      </c>
    </row>
    <row r="43" spans="1:14" x14ac:dyDescent="0.3">
      <c r="A43" s="52" t="s">
        <v>1354</v>
      </c>
      <c r="B43" s="52" t="s">
        <v>1171</v>
      </c>
      <c r="C43" s="53">
        <v>150000</v>
      </c>
      <c r="D43" s="53"/>
      <c r="E43" s="53">
        <f t="shared" si="4"/>
        <v>150000</v>
      </c>
      <c r="F43" s="53"/>
      <c r="G43" s="53">
        <f t="shared" si="3"/>
        <v>150000</v>
      </c>
      <c r="H43" s="170">
        <v>-100000</v>
      </c>
      <c r="I43" s="69">
        <f t="shared" si="10"/>
        <v>50000</v>
      </c>
      <c r="J43" s="53">
        <f>C43*104.6%</f>
        <v>156900</v>
      </c>
      <c r="K43" s="53">
        <f t="shared" ref="K43" si="13">J43*104.6%</f>
        <v>164117.4</v>
      </c>
      <c r="L43" s="53">
        <v>530</v>
      </c>
      <c r="M43" s="53"/>
      <c r="N43" s="53">
        <f t="shared" si="8"/>
        <v>49470</v>
      </c>
    </row>
    <row r="44" spans="1:14" x14ac:dyDescent="0.3">
      <c r="A44" s="52" t="s">
        <v>369</v>
      </c>
      <c r="B44" s="52" t="s">
        <v>868</v>
      </c>
      <c r="C44" s="53">
        <v>100000</v>
      </c>
      <c r="D44" s="53"/>
      <c r="E44" s="53">
        <f t="shared" si="4"/>
        <v>100000</v>
      </c>
      <c r="F44" s="53"/>
      <c r="G44" s="53">
        <f t="shared" si="3"/>
        <v>100000</v>
      </c>
      <c r="H44" s="170"/>
      <c r="I44" s="69">
        <f t="shared" si="10"/>
        <v>100000</v>
      </c>
      <c r="J44" s="53">
        <f>C44*104.6%</f>
        <v>104600</v>
      </c>
      <c r="K44" s="53">
        <f t="shared" si="9"/>
        <v>109411.6</v>
      </c>
      <c r="L44" s="53"/>
      <c r="M44" s="53"/>
      <c r="N44" s="53">
        <f t="shared" si="8"/>
        <v>100000</v>
      </c>
    </row>
    <row r="45" spans="1:14" ht="13.5" thickBot="1" x14ac:dyDescent="0.35">
      <c r="A45" s="52"/>
      <c r="B45" s="52"/>
      <c r="C45" s="53"/>
      <c r="D45" s="53"/>
      <c r="E45" s="53">
        <f t="shared" si="4"/>
        <v>0</v>
      </c>
      <c r="F45" s="53"/>
      <c r="G45" s="53">
        <f t="shared" si="3"/>
        <v>0</v>
      </c>
      <c r="H45" s="170"/>
      <c r="I45" s="69">
        <f t="shared" si="10"/>
        <v>0</v>
      </c>
      <c r="J45" s="53">
        <f>C45*104.6%</f>
        <v>0</v>
      </c>
      <c r="K45" s="53">
        <f t="shared" si="9"/>
        <v>0</v>
      </c>
      <c r="L45" s="53"/>
      <c r="M45" s="53"/>
      <c r="N45" s="53">
        <f t="shared" si="8"/>
        <v>0</v>
      </c>
    </row>
    <row r="46" spans="1:14" s="77" customFormat="1" ht="13.5" thickBot="1" x14ac:dyDescent="0.35">
      <c r="A46" s="57" t="s">
        <v>678</v>
      </c>
      <c r="B46" s="57"/>
      <c r="C46" s="59">
        <f t="shared" ref="C46:N46" si="14">SUM(C15:C45)</f>
        <v>7715000</v>
      </c>
      <c r="D46" s="59">
        <f t="shared" si="14"/>
        <v>-1029000</v>
      </c>
      <c r="E46" s="59">
        <f t="shared" si="14"/>
        <v>6686000</v>
      </c>
      <c r="F46" s="59">
        <f t="shared" si="14"/>
        <v>14000000</v>
      </c>
      <c r="G46" s="59">
        <f t="shared" si="14"/>
        <v>20686000</v>
      </c>
      <c r="H46" s="171">
        <f t="shared" si="14"/>
        <v>182547.51039999997</v>
      </c>
      <c r="I46" s="59">
        <f t="shared" si="14"/>
        <v>20868547.510400001</v>
      </c>
      <c r="J46" s="59">
        <f t="shared" si="14"/>
        <v>8069890</v>
      </c>
      <c r="K46" s="59">
        <f t="shared" si="14"/>
        <v>8441104.9400000013</v>
      </c>
      <c r="L46" s="59">
        <f t="shared" si="14"/>
        <v>6748589.5499999998</v>
      </c>
      <c r="M46" s="59">
        <f t="shared" si="14"/>
        <v>432586.47000000003</v>
      </c>
      <c r="N46" s="59">
        <f t="shared" si="14"/>
        <v>13687371.490399998</v>
      </c>
    </row>
    <row r="47" spans="1:14" s="77" customFormat="1" ht="13.5" thickTop="1" x14ac:dyDescent="0.3">
      <c r="A47" s="106"/>
      <c r="B47" s="106"/>
      <c r="C47" s="107"/>
      <c r="D47" s="107"/>
      <c r="E47" s="53">
        <f t="shared" si="4"/>
        <v>0</v>
      </c>
      <c r="F47" s="62"/>
      <c r="G47" s="53">
        <f t="shared" si="3"/>
        <v>0</v>
      </c>
      <c r="H47" s="172"/>
      <c r="I47" s="62"/>
      <c r="J47" s="107"/>
      <c r="K47" s="107"/>
      <c r="L47" s="67"/>
      <c r="M47" s="67"/>
      <c r="N47" s="51"/>
    </row>
    <row r="48" spans="1:14" s="77" customFormat="1" x14ac:dyDescent="0.3">
      <c r="A48" s="51" t="s">
        <v>79</v>
      </c>
      <c r="B48" s="52"/>
      <c r="C48" s="67"/>
      <c r="D48" s="67"/>
      <c r="E48" s="53">
        <f t="shared" si="4"/>
        <v>0</v>
      </c>
      <c r="F48" s="53"/>
      <c r="G48" s="53">
        <f t="shared" si="3"/>
        <v>0</v>
      </c>
      <c r="H48" s="170"/>
      <c r="I48" s="53"/>
      <c r="J48" s="67"/>
      <c r="K48" s="67"/>
      <c r="L48" s="67"/>
      <c r="M48" s="67"/>
      <c r="N48" s="51"/>
    </row>
    <row r="49" spans="1:15" s="77" customFormat="1" x14ac:dyDescent="0.3">
      <c r="A49" s="56" t="s">
        <v>373</v>
      </c>
      <c r="B49" s="56" t="s">
        <v>57</v>
      </c>
      <c r="C49" s="69">
        <v>5370501.5225000009</v>
      </c>
      <c r="D49" s="69"/>
      <c r="E49" s="53">
        <f t="shared" si="4"/>
        <v>5370501.5225000009</v>
      </c>
      <c r="F49" s="53"/>
      <c r="G49" s="53">
        <f t="shared" si="3"/>
        <v>5370501.5225000009</v>
      </c>
      <c r="H49" s="170">
        <v>-295835.69750000164</v>
      </c>
      <c r="I49" s="69">
        <f t="shared" ref="I49:I68" si="15">G49+H49</f>
        <v>5074665.8249999993</v>
      </c>
      <c r="J49" s="53">
        <f t="shared" ref="J49:J68" si="16">C49*104.6%</f>
        <v>5617544.5925350012</v>
      </c>
      <c r="K49" s="53">
        <f t="shared" ref="K49:K68" si="17">J49*104.6%</f>
        <v>5875951.6437916113</v>
      </c>
      <c r="L49" s="67">
        <v>2904371.11</v>
      </c>
      <c r="M49" s="67"/>
      <c r="N49" s="53">
        <f t="shared" ref="N49:N68" si="18">I49-L49-M49</f>
        <v>2170294.7149999994</v>
      </c>
    </row>
    <row r="50" spans="1:15" s="77" customFormat="1" x14ac:dyDescent="0.3">
      <c r="A50" s="56" t="s">
        <v>374</v>
      </c>
      <c r="B50" s="56" t="s">
        <v>375</v>
      </c>
      <c r="C50" s="69">
        <v>600000</v>
      </c>
      <c r="D50" s="69"/>
      <c r="E50" s="53">
        <f t="shared" si="4"/>
        <v>600000</v>
      </c>
      <c r="F50" s="53"/>
      <c r="G50" s="53">
        <f t="shared" si="3"/>
        <v>600000</v>
      </c>
      <c r="H50" s="170">
        <v>145000</v>
      </c>
      <c r="I50" s="69">
        <f t="shared" si="15"/>
        <v>745000</v>
      </c>
      <c r="J50" s="53">
        <f t="shared" si="16"/>
        <v>627600</v>
      </c>
      <c r="K50" s="53">
        <f t="shared" si="17"/>
        <v>656469.6</v>
      </c>
      <c r="L50" s="67">
        <v>0</v>
      </c>
      <c r="M50" s="67"/>
      <c r="N50" s="53">
        <f t="shared" si="18"/>
        <v>745000</v>
      </c>
      <c r="O50" s="148"/>
    </row>
    <row r="51" spans="1:15" s="77" customFormat="1" x14ac:dyDescent="0.3">
      <c r="A51" s="56" t="s">
        <v>456</v>
      </c>
      <c r="B51" s="56" t="s">
        <v>376</v>
      </c>
      <c r="C51" s="69">
        <v>1760000</v>
      </c>
      <c r="D51" s="69"/>
      <c r="E51" s="53">
        <f t="shared" si="4"/>
        <v>1760000</v>
      </c>
      <c r="F51" s="53"/>
      <c r="G51" s="53">
        <f t="shared" si="3"/>
        <v>1760000</v>
      </c>
      <c r="H51" s="170">
        <v>0</v>
      </c>
      <c r="I51" s="69">
        <f t="shared" si="15"/>
        <v>1760000</v>
      </c>
      <c r="J51" s="53">
        <f t="shared" si="16"/>
        <v>1840960</v>
      </c>
      <c r="K51" s="53">
        <f t="shared" si="17"/>
        <v>1925644.1600000001</v>
      </c>
      <c r="L51" s="67">
        <v>1414920.8</v>
      </c>
      <c r="M51" s="67"/>
      <c r="N51" s="53">
        <f t="shared" si="18"/>
        <v>345079.19999999995</v>
      </c>
    </row>
    <row r="52" spans="1:15" s="77" customFormat="1" x14ac:dyDescent="0.3">
      <c r="A52" s="56" t="s">
        <v>377</v>
      </c>
      <c r="B52" s="56" t="s">
        <v>58</v>
      </c>
      <c r="C52" s="69">
        <v>295161.60750000004</v>
      </c>
      <c r="D52" s="69"/>
      <c r="E52" s="53">
        <f t="shared" si="4"/>
        <v>295161.60750000004</v>
      </c>
      <c r="F52" s="53"/>
      <c r="G52" s="53">
        <f t="shared" si="3"/>
        <v>295161.60750000004</v>
      </c>
      <c r="H52" s="170">
        <v>-11836.455000000075</v>
      </c>
      <c r="I52" s="69">
        <f t="shared" si="15"/>
        <v>283325.15249999997</v>
      </c>
      <c r="J52" s="53">
        <f t="shared" si="16"/>
        <v>308739.04144500004</v>
      </c>
      <c r="K52" s="53">
        <f t="shared" si="17"/>
        <v>322941.03735147003</v>
      </c>
      <c r="L52" s="67">
        <v>283325.15000000002</v>
      </c>
      <c r="M52" s="67"/>
      <c r="N52" s="53">
        <f t="shared" si="18"/>
        <v>2.4999999441206455E-3</v>
      </c>
    </row>
    <row r="53" spans="1:15" s="77" customFormat="1" x14ac:dyDescent="0.3">
      <c r="A53" s="56" t="s">
        <v>378</v>
      </c>
      <c r="B53" s="56" t="s">
        <v>59</v>
      </c>
      <c r="C53" s="69">
        <v>2236.7999999999997</v>
      </c>
      <c r="D53" s="69"/>
      <c r="E53" s="53">
        <f t="shared" si="4"/>
        <v>2236.7999999999997</v>
      </c>
      <c r="F53" s="53"/>
      <c r="G53" s="53">
        <f t="shared" si="3"/>
        <v>2236.7999999999997</v>
      </c>
      <c r="H53" s="170">
        <v>0</v>
      </c>
      <c r="I53" s="69">
        <f t="shared" si="15"/>
        <v>2236.7999999999997</v>
      </c>
      <c r="J53" s="53">
        <f t="shared" si="16"/>
        <v>2339.6927999999998</v>
      </c>
      <c r="K53" s="53">
        <f t="shared" si="17"/>
        <v>2447.3186688000001</v>
      </c>
      <c r="L53" s="67">
        <v>1197.8999999999999</v>
      </c>
      <c r="M53" s="67"/>
      <c r="N53" s="53">
        <f t="shared" si="18"/>
        <v>1038.8999999999999</v>
      </c>
    </row>
    <row r="54" spans="1:15" s="77" customFormat="1" x14ac:dyDescent="0.3">
      <c r="A54" s="56" t="s">
        <v>379</v>
      </c>
      <c r="B54" s="56" t="s">
        <v>60</v>
      </c>
      <c r="C54" s="69">
        <v>254392.2</v>
      </c>
      <c r="D54" s="69"/>
      <c r="E54" s="53">
        <f t="shared" si="4"/>
        <v>254392.2</v>
      </c>
      <c r="F54" s="53"/>
      <c r="G54" s="53">
        <f t="shared" si="3"/>
        <v>254392.2</v>
      </c>
      <c r="H54" s="170">
        <v>77494.680000000051</v>
      </c>
      <c r="I54" s="69">
        <f t="shared" si="15"/>
        <v>331886.88000000006</v>
      </c>
      <c r="J54" s="53">
        <f t="shared" si="16"/>
        <v>266094.24120000005</v>
      </c>
      <c r="K54" s="53">
        <f t="shared" si="17"/>
        <v>278334.57629520004</v>
      </c>
      <c r="L54" s="67">
        <v>159864.24</v>
      </c>
      <c r="M54" s="67"/>
      <c r="N54" s="53">
        <f t="shared" si="18"/>
        <v>172022.64000000007</v>
      </c>
    </row>
    <row r="55" spans="1:15" s="77" customFormat="1" x14ac:dyDescent="0.3">
      <c r="A55" s="56" t="s">
        <v>380</v>
      </c>
      <c r="B55" s="56" t="s">
        <v>123</v>
      </c>
      <c r="C55" s="69">
        <v>887721.00637499988</v>
      </c>
      <c r="D55" s="69"/>
      <c r="E55" s="53">
        <f t="shared" si="4"/>
        <v>887721.00637499988</v>
      </c>
      <c r="F55" s="53"/>
      <c r="G55" s="53">
        <f t="shared" si="3"/>
        <v>887721.00637499988</v>
      </c>
      <c r="H55" s="170">
        <v>60987.337806249969</v>
      </c>
      <c r="I55" s="69">
        <f t="shared" si="15"/>
        <v>948708.34418124985</v>
      </c>
      <c r="J55" s="53">
        <f t="shared" si="16"/>
        <v>928556.17266824993</v>
      </c>
      <c r="K55" s="53">
        <f t="shared" si="17"/>
        <v>971269.75661098945</v>
      </c>
      <c r="L55" s="67">
        <v>484285.21</v>
      </c>
      <c r="M55" s="67"/>
      <c r="N55" s="53">
        <f t="shared" si="18"/>
        <v>464423.13418124983</v>
      </c>
    </row>
    <row r="56" spans="1:15" s="77" customFormat="1" x14ac:dyDescent="0.3">
      <c r="A56" s="56" t="s">
        <v>381</v>
      </c>
      <c r="B56" s="56" t="s">
        <v>61</v>
      </c>
      <c r="C56" s="69">
        <v>33656.159999999996</v>
      </c>
      <c r="D56" s="69"/>
      <c r="E56" s="53">
        <f t="shared" si="4"/>
        <v>33656.159999999996</v>
      </c>
      <c r="F56" s="53"/>
      <c r="G56" s="53">
        <f t="shared" si="3"/>
        <v>33656.159999999996</v>
      </c>
      <c r="H56" s="170">
        <v>0</v>
      </c>
      <c r="I56" s="69">
        <f t="shared" si="15"/>
        <v>33656.159999999996</v>
      </c>
      <c r="J56" s="53">
        <f t="shared" si="16"/>
        <v>35204.343359999999</v>
      </c>
      <c r="K56" s="53">
        <f t="shared" si="17"/>
        <v>36823.743154559997</v>
      </c>
      <c r="L56" s="67">
        <v>16968.010000000002</v>
      </c>
      <c r="M56" s="67"/>
      <c r="N56" s="53">
        <f t="shared" si="18"/>
        <v>16688.149999999994</v>
      </c>
    </row>
    <row r="57" spans="1:15" s="77" customFormat="1" x14ac:dyDescent="0.3">
      <c r="A57" s="56" t="s">
        <v>382</v>
      </c>
      <c r="B57" s="56" t="s">
        <v>383</v>
      </c>
      <c r="C57" s="69">
        <v>0</v>
      </c>
      <c r="D57" s="69"/>
      <c r="E57" s="53">
        <f t="shared" si="4"/>
        <v>0</v>
      </c>
      <c r="F57" s="53"/>
      <c r="G57" s="53">
        <f t="shared" si="3"/>
        <v>0</v>
      </c>
      <c r="H57" s="170">
        <v>0</v>
      </c>
      <c r="I57" s="69">
        <f t="shared" si="15"/>
        <v>0</v>
      </c>
      <c r="J57" s="53">
        <f t="shared" si="16"/>
        <v>0</v>
      </c>
      <c r="K57" s="53">
        <f t="shared" si="17"/>
        <v>0</v>
      </c>
      <c r="L57" s="67">
        <v>0</v>
      </c>
      <c r="M57" s="67"/>
      <c r="N57" s="53">
        <f t="shared" si="18"/>
        <v>0</v>
      </c>
    </row>
    <row r="58" spans="1:15" s="77" customFormat="1" x14ac:dyDescent="0.3">
      <c r="A58" s="56" t="s">
        <v>457</v>
      </c>
      <c r="B58" s="56" t="s">
        <v>384</v>
      </c>
      <c r="C58" s="69">
        <v>0</v>
      </c>
      <c r="D58" s="69"/>
      <c r="E58" s="53">
        <f t="shared" si="4"/>
        <v>0</v>
      </c>
      <c r="F58" s="53"/>
      <c r="G58" s="53">
        <f t="shared" si="3"/>
        <v>0</v>
      </c>
      <c r="H58" s="170">
        <v>0</v>
      </c>
      <c r="I58" s="69">
        <f t="shared" si="15"/>
        <v>0</v>
      </c>
      <c r="J58" s="53">
        <f t="shared" si="16"/>
        <v>0</v>
      </c>
      <c r="K58" s="53">
        <f t="shared" si="17"/>
        <v>0</v>
      </c>
      <c r="L58" s="67">
        <v>14152.21</v>
      </c>
      <c r="M58" s="67"/>
      <c r="N58" s="53">
        <f t="shared" si="18"/>
        <v>-14152.21</v>
      </c>
    </row>
    <row r="59" spans="1:15" s="77" customFormat="1" x14ac:dyDescent="0.3">
      <c r="A59" s="56" t="s">
        <v>594</v>
      </c>
      <c r="B59" s="56" t="s">
        <v>593</v>
      </c>
      <c r="C59" s="69">
        <v>120000</v>
      </c>
      <c r="D59" s="69"/>
      <c r="E59" s="53">
        <f t="shared" si="4"/>
        <v>120000</v>
      </c>
      <c r="F59" s="53"/>
      <c r="G59" s="53">
        <f t="shared" si="3"/>
        <v>120000</v>
      </c>
      <c r="H59" s="170">
        <v>-100000</v>
      </c>
      <c r="I59" s="69">
        <f t="shared" si="15"/>
        <v>20000</v>
      </c>
      <c r="J59" s="53">
        <f t="shared" si="16"/>
        <v>125520</v>
      </c>
      <c r="K59" s="53">
        <f t="shared" si="17"/>
        <v>131293.92000000001</v>
      </c>
      <c r="L59" s="67">
        <v>0</v>
      </c>
      <c r="M59" s="67"/>
      <c r="N59" s="53">
        <f t="shared" si="18"/>
        <v>20000</v>
      </c>
    </row>
    <row r="60" spans="1:15" s="77" customFormat="1" x14ac:dyDescent="0.3">
      <c r="A60" s="56" t="s">
        <v>385</v>
      </c>
      <c r="B60" s="56" t="s">
        <v>126</v>
      </c>
      <c r="C60" s="69">
        <v>250423.51500000004</v>
      </c>
      <c r="D60" s="69"/>
      <c r="E60" s="53">
        <f t="shared" si="4"/>
        <v>250423.51500000004</v>
      </c>
      <c r="F60" s="53"/>
      <c r="G60" s="53">
        <f t="shared" si="3"/>
        <v>250423.51500000004</v>
      </c>
      <c r="H60" s="170">
        <v>0</v>
      </c>
      <c r="I60" s="69">
        <f t="shared" si="15"/>
        <v>250423.51500000004</v>
      </c>
      <c r="J60" s="53">
        <f t="shared" si="16"/>
        <v>261942.99669000006</v>
      </c>
      <c r="K60" s="53">
        <f t="shared" si="17"/>
        <v>273992.37453774008</v>
      </c>
      <c r="L60" s="67">
        <v>146080.41</v>
      </c>
      <c r="M60" s="67"/>
      <c r="N60" s="53">
        <f t="shared" si="18"/>
        <v>104343.10500000004</v>
      </c>
    </row>
    <row r="61" spans="1:15" s="77" customFormat="1" x14ac:dyDescent="0.3">
      <c r="A61" s="56" t="s">
        <v>386</v>
      </c>
      <c r="B61" s="56" t="s">
        <v>62</v>
      </c>
      <c r="C61" s="69">
        <v>21786.48</v>
      </c>
      <c r="D61" s="69"/>
      <c r="E61" s="53">
        <f t="shared" si="4"/>
        <v>21786.48</v>
      </c>
      <c r="F61" s="53"/>
      <c r="G61" s="53">
        <f t="shared" si="3"/>
        <v>21786.48</v>
      </c>
      <c r="H61" s="170">
        <v>12935.880000000001</v>
      </c>
      <c r="I61" s="69">
        <f t="shared" si="15"/>
        <v>34722.36</v>
      </c>
      <c r="J61" s="53">
        <f t="shared" si="16"/>
        <v>22788.658080000001</v>
      </c>
      <c r="K61" s="53">
        <f t="shared" si="17"/>
        <v>23836.93635168</v>
      </c>
      <c r="L61" s="67">
        <v>20254.71</v>
      </c>
      <c r="M61" s="67"/>
      <c r="N61" s="53">
        <f t="shared" si="18"/>
        <v>14467.650000000001</v>
      </c>
    </row>
    <row r="62" spans="1:15" s="77" customFormat="1" x14ac:dyDescent="0.3">
      <c r="A62" s="56" t="s">
        <v>387</v>
      </c>
      <c r="B62" s="56" t="s">
        <v>63</v>
      </c>
      <c r="C62" s="69">
        <v>30000</v>
      </c>
      <c r="D62" s="69"/>
      <c r="E62" s="53">
        <f t="shared" si="4"/>
        <v>30000</v>
      </c>
      <c r="F62" s="53"/>
      <c r="G62" s="53">
        <f t="shared" si="3"/>
        <v>30000</v>
      </c>
      <c r="H62" s="170">
        <v>30991.489999999998</v>
      </c>
      <c r="I62" s="69">
        <f t="shared" si="15"/>
        <v>60991.49</v>
      </c>
      <c r="J62" s="53">
        <f t="shared" si="16"/>
        <v>31380</v>
      </c>
      <c r="K62" s="53">
        <f t="shared" si="17"/>
        <v>32823.480000000003</v>
      </c>
      <c r="L62" s="67">
        <v>60991.49</v>
      </c>
      <c r="M62" s="67"/>
      <c r="N62" s="53">
        <f t="shared" si="18"/>
        <v>0</v>
      </c>
    </row>
    <row r="63" spans="1:15" s="77" customFormat="1" x14ac:dyDescent="0.3">
      <c r="A63" s="56" t="s">
        <v>388</v>
      </c>
      <c r="B63" s="56" t="s">
        <v>64</v>
      </c>
      <c r="C63" s="69">
        <v>75000</v>
      </c>
      <c r="D63" s="69"/>
      <c r="E63" s="53">
        <f t="shared" si="4"/>
        <v>75000</v>
      </c>
      <c r="F63" s="53"/>
      <c r="G63" s="53">
        <f t="shared" si="3"/>
        <v>75000</v>
      </c>
      <c r="H63" s="170">
        <v>-43000</v>
      </c>
      <c r="I63" s="69">
        <f t="shared" si="15"/>
        <v>32000</v>
      </c>
      <c r="J63" s="53">
        <f t="shared" si="16"/>
        <v>78450</v>
      </c>
      <c r="K63" s="53">
        <f t="shared" si="17"/>
        <v>82058.7</v>
      </c>
      <c r="L63" s="67">
        <v>13123.710000000001</v>
      </c>
      <c r="M63" s="67"/>
      <c r="N63" s="53">
        <f t="shared" si="18"/>
        <v>18876.29</v>
      </c>
    </row>
    <row r="64" spans="1:15" s="77" customFormat="1" x14ac:dyDescent="0.3">
      <c r="A64" s="56" t="s">
        <v>445</v>
      </c>
      <c r="B64" s="56" t="s">
        <v>438</v>
      </c>
      <c r="C64" s="69">
        <v>100000</v>
      </c>
      <c r="D64" s="69"/>
      <c r="E64" s="53">
        <f t="shared" si="4"/>
        <v>100000</v>
      </c>
      <c r="F64" s="53"/>
      <c r="G64" s="53">
        <f t="shared" si="3"/>
        <v>100000</v>
      </c>
      <c r="H64" s="170">
        <v>-100000</v>
      </c>
      <c r="I64" s="69">
        <f t="shared" si="15"/>
        <v>0</v>
      </c>
      <c r="J64" s="53">
        <f t="shared" si="16"/>
        <v>104600</v>
      </c>
      <c r="K64" s="53">
        <f t="shared" si="17"/>
        <v>109411.6</v>
      </c>
      <c r="L64" s="67">
        <v>0</v>
      </c>
      <c r="M64" s="67"/>
      <c r="N64" s="53">
        <f t="shared" si="18"/>
        <v>0</v>
      </c>
    </row>
    <row r="65" spans="1:14" s="77" customFormat="1" x14ac:dyDescent="0.3">
      <c r="A65" s="56" t="s">
        <v>389</v>
      </c>
      <c r="B65" s="56" t="s">
        <v>390</v>
      </c>
      <c r="C65" s="69">
        <v>577829.87250000006</v>
      </c>
      <c r="D65" s="69"/>
      <c r="E65" s="53">
        <f t="shared" si="4"/>
        <v>577829.87250000006</v>
      </c>
      <c r="F65" s="53"/>
      <c r="G65" s="53">
        <f t="shared" si="3"/>
        <v>577829.87250000006</v>
      </c>
      <c r="H65" s="170">
        <v>-23810.032500000088</v>
      </c>
      <c r="I65" s="69">
        <f t="shared" si="15"/>
        <v>554019.83999999997</v>
      </c>
      <c r="J65" s="53">
        <f t="shared" si="16"/>
        <v>604410.04663500004</v>
      </c>
      <c r="K65" s="53">
        <f t="shared" si="17"/>
        <v>632212.90878021007</v>
      </c>
      <c r="L65" s="67">
        <v>324862.86</v>
      </c>
      <c r="M65" s="67"/>
      <c r="N65" s="53">
        <f t="shared" si="18"/>
        <v>229156.97999999998</v>
      </c>
    </row>
    <row r="66" spans="1:14" s="77" customFormat="1" x14ac:dyDescent="0.3">
      <c r="A66" s="56" t="s">
        <v>391</v>
      </c>
      <c r="B66" s="56" t="s">
        <v>392</v>
      </c>
      <c r="C66" s="69">
        <v>53908.200000000004</v>
      </c>
      <c r="D66" s="69"/>
      <c r="E66" s="53">
        <f t="shared" si="4"/>
        <v>53908.200000000004</v>
      </c>
      <c r="F66" s="53"/>
      <c r="G66" s="53">
        <f t="shared" si="3"/>
        <v>53908.200000000004</v>
      </c>
      <c r="H66" s="170">
        <v>0</v>
      </c>
      <c r="I66" s="69">
        <f t="shared" si="15"/>
        <v>53908.200000000004</v>
      </c>
      <c r="J66" s="53">
        <f t="shared" si="16"/>
        <v>56387.977200000008</v>
      </c>
      <c r="K66" s="53">
        <f t="shared" si="17"/>
        <v>58981.82415120001</v>
      </c>
      <c r="L66" s="67">
        <v>32539.919999999998</v>
      </c>
      <c r="M66" s="67"/>
      <c r="N66" s="53">
        <f t="shared" si="18"/>
        <v>21368.280000000006</v>
      </c>
    </row>
    <row r="67" spans="1:14" s="77" customFormat="1" x14ac:dyDescent="0.3">
      <c r="A67" s="56" t="s">
        <v>393</v>
      </c>
      <c r="B67" s="56" t="s">
        <v>394</v>
      </c>
      <c r="C67" s="69">
        <v>1784.6399999999999</v>
      </c>
      <c r="D67" s="69"/>
      <c r="E67" s="53">
        <f t="shared" si="4"/>
        <v>1784.6399999999999</v>
      </c>
      <c r="F67" s="53"/>
      <c r="G67" s="53">
        <f t="shared" si="3"/>
        <v>1784.6399999999999</v>
      </c>
      <c r="H67" s="170">
        <v>0</v>
      </c>
      <c r="I67" s="69">
        <f t="shared" si="15"/>
        <v>1784.6399999999999</v>
      </c>
      <c r="J67" s="53">
        <f t="shared" si="16"/>
        <v>1866.73344</v>
      </c>
      <c r="K67" s="53">
        <f t="shared" si="17"/>
        <v>1952.60317824</v>
      </c>
      <c r="L67" s="67">
        <v>1041.04</v>
      </c>
      <c r="M67" s="67"/>
      <c r="N67" s="53">
        <f t="shared" si="18"/>
        <v>743.59999999999991</v>
      </c>
    </row>
    <row r="68" spans="1:14" s="77" customFormat="1" ht="13.5" thickBot="1" x14ac:dyDescent="0.35">
      <c r="A68" s="56" t="s">
        <v>395</v>
      </c>
      <c r="B68" s="56" t="s">
        <v>396</v>
      </c>
      <c r="C68" s="69">
        <v>195365.04</v>
      </c>
      <c r="D68" s="69"/>
      <c r="E68" s="53">
        <f t="shared" si="4"/>
        <v>195365.04</v>
      </c>
      <c r="F68" s="53"/>
      <c r="G68" s="53">
        <f t="shared" si="3"/>
        <v>195365.04</v>
      </c>
      <c r="H68" s="170">
        <v>8400.7200000000012</v>
      </c>
      <c r="I68" s="69">
        <f t="shared" si="15"/>
        <v>203765.76000000001</v>
      </c>
      <c r="J68" s="53">
        <f t="shared" si="16"/>
        <v>204351.83184000003</v>
      </c>
      <c r="K68" s="53">
        <f t="shared" si="17"/>
        <v>213752.01610464003</v>
      </c>
      <c r="L68" s="67">
        <v>118863.35999999999</v>
      </c>
      <c r="M68" s="67"/>
      <c r="N68" s="53">
        <f t="shared" si="18"/>
        <v>84902.400000000023</v>
      </c>
    </row>
    <row r="69" spans="1:14" s="77" customFormat="1" ht="13.5" thickBot="1" x14ac:dyDescent="0.35">
      <c r="A69" s="57" t="s">
        <v>203</v>
      </c>
      <c r="B69" s="57"/>
      <c r="C69" s="59">
        <f>SUM(C49:C68)</f>
        <v>10629767.043875001</v>
      </c>
      <c r="D69" s="59">
        <f t="shared" ref="D69:N69" si="19">SUM(D49:D68)</f>
        <v>0</v>
      </c>
      <c r="E69" s="59">
        <f t="shared" si="19"/>
        <v>10629767.043875001</v>
      </c>
      <c r="F69" s="59">
        <f t="shared" si="19"/>
        <v>0</v>
      </c>
      <c r="G69" s="59">
        <f t="shared" si="19"/>
        <v>10629767.043875001</v>
      </c>
      <c r="H69" s="171">
        <f t="shared" si="19"/>
        <v>-238672.07719375179</v>
      </c>
      <c r="I69" s="59">
        <f t="shared" si="19"/>
        <v>10391094.966681249</v>
      </c>
      <c r="J69" s="59">
        <f t="shared" si="19"/>
        <v>11118736.32789325</v>
      </c>
      <c r="K69" s="59">
        <f t="shared" si="19"/>
        <v>11630198.198976338</v>
      </c>
      <c r="L69" s="59">
        <f t="shared" si="19"/>
        <v>5996842.1300000018</v>
      </c>
      <c r="M69" s="59">
        <f t="shared" si="19"/>
        <v>0</v>
      </c>
      <c r="N69" s="59">
        <f t="shared" si="19"/>
        <v>4394252.8366812496</v>
      </c>
    </row>
    <row r="70" spans="1:14" s="77" customFormat="1" ht="13.5" thickTop="1" x14ac:dyDescent="0.3">
      <c r="A70" s="106"/>
      <c r="B70" s="106"/>
      <c r="C70" s="107"/>
      <c r="D70" s="107"/>
      <c r="E70" s="101">
        <f t="shared" si="4"/>
        <v>0</v>
      </c>
      <c r="F70" s="101"/>
      <c r="G70" s="53">
        <f t="shared" si="3"/>
        <v>0</v>
      </c>
      <c r="H70" s="172"/>
      <c r="I70" s="62"/>
      <c r="J70" s="107"/>
      <c r="K70" s="107"/>
      <c r="L70" s="67"/>
      <c r="M70" s="67"/>
      <c r="N70" s="51"/>
    </row>
    <row r="71" spans="1:14" s="77" customFormat="1" x14ac:dyDescent="0.3">
      <c r="A71" s="51" t="s">
        <v>83</v>
      </c>
      <c r="B71" s="51"/>
      <c r="C71" s="67"/>
      <c r="D71" s="67"/>
      <c r="E71" s="53"/>
      <c r="F71" s="53"/>
      <c r="G71" s="53">
        <f t="shared" si="3"/>
        <v>0</v>
      </c>
      <c r="H71" s="170"/>
      <c r="I71" s="53"/>
      <c r="J71" s="67"/>
      <c r="K71" s="67"/>
      <c r="L71" s="67"/>
      <c r="M71" s="67"/>
      <c r="N71" s="51"/>
    </row>
    <row r="72" spans="1:14" s="77" customFormat="1" x14ac:dyDescent="0.3">
      <c r="A72" s="51"/>
      <c r="B72" s="51"/>
      <c r="C72" s="67"/>
      <c r="D72" s="67"/>
      <c r="E72" s="53"/>
      <c r="F72" s="53"/>
      <c r="G72" s="53">
        <f t="shared" si="3"/>
        <v>0</v>
      </c>
      <c r="H72" s="170"/>
      <c r="I72" s="53"/>
      <c r="J72" s="67"/>
      <c r="K72" s="67"/>
      <c r="L72" s="67"/>
      <c r="M72" s="67"/>
      <c r="N72" s="51"/>
    </row>
    <row r="73" spans="1:14" s="77" customFormat="1" x14ac:dyDescent="0.3">
      <c r="A73" s="52" t="s">
        <v>1243</v>
      </c>
      <c r="B73" s="52" t="s">
        <v>1227</v>
      </c>
      <c r="C73" s="67"/>
      <c r="D73" s="53">
        <v>1950000</v>
      </c>
      <c r="E73" s="53">
        <f t="shared" si="4"/>
        <v>1950000</v>
      </c>
      <c r="F73" s="53"/>
      <c r="G73" s="53">
        <f t="shared" si="3"/>
        <v>1950000</v>
      </c>
      <c r="H73" s="170">
        <v>370000</v>
      </c>
      <c r="I73" s="69">
        <f>G73+H73</f>
        <v>2320000</v>
      </c>
      <c r="J73" s="67"/>
      <c r="K73" s="67"/>
      <c r="L73" s="67">
        <v>1217123.55</v>
      </c>
      <c r="M73" s="67"/>
      <c r="N73" s="53">
        <f t="shared" ref="N73:N74" si="20">I73-L73-M73</f>
        <v>1102876.45</v>
      </c>
    </row>
    <row r="74" spans="1:14" s="77" customFormat="1" ht="13.5" thickBot="1" x14ac:dyDescent="0.35">
      <c r="A74" s="56" t="s">
        <v>1241</v>
      </c>
      <c r="B74" s="56" t="s">
        <v>1242</v>
      </c>
      <c r="C74" s="83"/>
      <c r="D74" s="69">
        <v>379000</v>
      </c>
      <c r="E74" s="69">
        <f t="shared" si="4"/>
        <v>379000</v>
      </c>
      <c r="F74" s="69"/>
      <c r="G74" s="53">
        <f t="shared" si="3"/>
        <v>379000</v>
      </c>
      <c r="H74" s="173">
        <v>294000</v>
      </c>
      <c r="I74" s="69">
        <f>G74+H74</f>
        <v>673000</v>
      </c>
      <c r="J74" s="83"/>
      <c r="K74" s="83"/>
      <c r="L74" s="67">
        <v>293705.24</v>
      </c>
      <c r="M74" s="67"/>
      <c r="N74" s="53">
        <f t="shared" si="20"/>
        <v>379294.76</v>
      </c>
    </row>
    <row r="75" spans="1:14" s="77" customFormat="1" ht="13.5" thickBot="1" x14ac:dyDescent="0.35">
      <c r="A75" s="70" t="s">
        <v>726</v>
      </c>
      <c r="B75" s="70"/>
      <c r="C75" s="72">
        <f t="shared" ref="C75:N75" si="21">SUM(C73:C74)</f>
        <v>0</v>
      </c>
      <c r="D75" s="72">
        <f t="shared" si="21"/>
        <v>2329000</v>
      </c>
      <c r="E75" s="72">
        <f t="shared" si="21"/>
        <v>2329000</v>
      </c>
      <c r="F75" s="72">
        <f t="shared" si="21"/>
        <v>0</v>
      </c>
      <c r="G75" s="72">
        <f t="shared" si="21"/>
        <v>2329000</v>
      </c>
      <c r="H75" s="177">
        <f t="shared" si="21"/>
        <v>664000</v>
      </c>
      <c r="I75" s="72">
        <f t="shared" si="21"/>
        <v>2993000</v>
      </c>
      <c r="J75" s="72">
        <f t="shared" si="21"/>
        <v>0</v>
      </c>
      <c r="K75" s="72">
        <f t="shared" si="21"/>
        <v>0</v>
      </c>
      <c r="L75" s="72">
        <f t="shared" si="21"/>
        <v>1510828.79</v>
      </c>
      <c r="M75" s="72">
        <f t="shared" si="21"/>
        <v>0</v>
      </c>
      <c r="N75" s="72">
        <f t="shared" si="21"/>
        <v>1482171.21</v>
      </c>
    </row>
    <row r="76" spans="1:14" s="77" customFormat="1" ht="14" thickTop="1" thickBot="1" x14ac:dyDescent="0.35">
      <c r="A76" s="117"/>
      <c r="B76" s="117"/>
      <c r="C76" s="117"/>
      <c r="D76" s="118"/>
      <c r="E76" s="97"/>
      <c r="F76" s="97"/>
      <c r="G76" s="53">
        <f t="shared" si="3"/>
        <v>0</v>
      </c>
      <c r="H76" s="174"/>
      <c r="I76" s="79"/>
      <c r="J76" s="118"/>
      <c r="K76" s="118"/>
      <c r="L76" s="67"/>
      <c r="M76" s="67"/>
      <c r="N76" s="51"/>
    </row>
    <row r="77" spans="1:14" s="77" customFormat="1" ht="13.5" thickBot="1" x14ac:dyDescent="0.35">
      <c r="A77" s="70" t="s">
        <v>703</v>
      </c>
      <c r="B77" s="70"/>
      <c r="C77" s="72">
        <f t="shared" ref="C77:N77" si="22">C69+C46+C75</f>
        <v>18344767.043875001</v>
      </c>
      <c r="D77" s="72">
        <f t="shared" si="22"/>
        <v>1300000</v>
      </c>
      <c r="E77" s="72">
        <f t="shared" si="22"/>
        <v>19644767.043875001</v>
      </c>
      <c r="F77" s="72">
        <f t="shared" si="22"/>
        <v>14000000</v>
      </c>
      <c r="G77" s="72">
        <f t="shared" si="22"/>
        <v>33644767.043875001</v>
      </c>
      <c r="H77" s="177">
        <f t="shared" si="22"/>
        <v>607875.43320624821</v>
      </c>
      <c r="I77" s="72">
        <f t="shared" si="22"/>
        <v>34252642.477081254</v>
      </c>
      <c r="J77" s="72">
        <f t="shared" si="22"/>
        <v>19188626.32789325</v>
      </c>
      <c r="K77" s="72">
        <f t="shared" si="22"/>
        <v>20071303.138976339</v>
      </c>
      <c r="L77" s="72">
        <f t="shared" si="22"/>
        <v>14256260.470000003</v>
      </c>
      <c r="M77" s="72">
        <f t="shared" si="22"/>
        <v>432586.47000000003</v>
      </c>
      <c r="N77" s="72">
        <f t="shared" si="22"/>
        <v>19563795.537081249</v>
      </c>
    </row>
    <row r="78" spans="1:14" s="77" customFormat="1" ht="13.5" thickTop="1" x14ac:dyDescent="0.3">
      <c r="A78" s="60"/>
      <c r="B78" s="60"/>
      <c r="C78" s="78"/>
      <c r="D78" s="78"/>
      <c r="E78" s="53">
        <f t="shared" si="4"/>
        <v>0</v>
      </c>
      <c r="F78" s="62"/>
      <c r="G78" s="53">
        <f t="shared" ref="G78:G119" si="23">E78+F78</f>
        <v>0</v>
      </c>
      <c r="H78" s="172"/>
      <c r="I78" s="62"/>
      <c r="J78" s="78"/>
      <c r="K78" s="78"/>
      <c r="L78" s="67"/>
      <c r="M78" s="67"/>
      <c r="N78" s="51"/>
    </row>
    <row r="79" spans="1:14" s="77" customFormat="1" x14ac:dyDescent="0.3">
      <c r="A79" s="51" t="s">
        <v>704</v>
      </c>
      <c r="B79" s="51"/>
      <c r="C79" s="67"/>
      <c r="D79" s="67"/>
      <c r="E79" s="53">
        <f t="shared" si="4"/>
        <v>0</v>
      </c>
      <c r="F79" s="53"/>
      <c r="G79" s="53">
        <f t="shared" si="23"/>
        <v>0</v>
      </c>
      <c r="H79" s="170"/>
      <c r="I79" s="53"/>
      <c r="J79" s="67"/>
      <c r="K79" s="67"/>
      <c r="L79" s="67"/>
      <c r="M79" s="67"/>
      <c r="N79" s="51"/>
    </row>
    <row r="80" spans="1:14" s="77" customFormat="1" x14ac:dyDescent="0.3">
      <c r="A80" s="51"/>
      <c r="B80" s="51"/>
      <c r="C80" s="67"/>
      <c r="D80" s="67"/>
      <c r="E80" s="53">
        <f t="shared" si="4"/>
        <v>0</v>
      </c>
      <c r="F80" s="53"/>
      <c r="G80" s="53">
        <f t="shared" si="23"/>
        <v>0</v>
      </c>
      <c r="H80" s="170"/>
      <c r="I80" s="53"/>
      <c r="J80" s="67"/>
      <c r="K80" s="67"/>
      <c r="L80" s="67"/>
      <c r="M80" s="67"/>
      <c r="N80" s="51"/>
    </row>
    <row r="81" spans="1:14" s="77" customFormat="1" x14ac:dyDescent="0.3">
      <c r="A81" s="51" t="s">
        <v>75</v>
      </c>
      <c r="B81" s="51"/>
      <c r="C81" s="67"/>
      <c r="D81" s="67"/>
      <c r="E81" s="53">
        <f t="shared" si="4"/>
        <v>0</v>
      </c>
      <c r="F81" s="53"/>
      <c r="G81" s="53">
        <f t="shared" si="23"/>
        <v>0</v>
      </c>
      <c r="H81" s="170"/>
      <c r="I81" s="53"/>
      <c r="J81" s="67"/>
      <c r="K81" s="67"/>
      <c r="L81" s="67"/>
      <c r="M81" s="67"/>
      <c r="N81" s="51"/>
    </row>
    <row r="82" spans="1:14" s="77" customFormat="1" x14ac:dyDescent="0.3">
      <c r="A82" s="51" t="s">
        <v>74</v>
      </c>
      <c r="B82" s="51"/>
      <c r="C82" s="67"/>
      <c r="D82" s="67"/>
      <c r="E82" s="53">
        <f t="shared" si="4"/>
        <v>0</v>
      </c>
      <c r="F82" s="53"/>
      <c r="G82" s="53">
        <f t="shared" si="23"/>
        <v>0</v>
      </c>
      <c r="H82" s="170"/>
      <c r="I82" s="53"/>
      <c r="J82" s="67"/>
      <c r="K82" s="67"/>
      <c r="L82" s="67"/>
      <c r="M82" s="67"/>
      <c r="N82" s="51"/>
    </row>
    <row r="83" spans="1:14" x14ac:dyDescent="0.3">
      <c r="A83" s="52" t="s">
        <v>1154</v>
      </c>
      <c r="B83" s="52" t="s">
        <v>362</v>
      </c>
      <c r="C83" s="53">
        <v>-29630000</v>
      </c>
      <c r="D83" s="53"/>
      <c r="E83" s="53">
        <f t="shared" si="4"/>
        <v>-29630000</v>
      </c>
      <c r="F83" s="53"/>
      <c r="G83" s="53">
        <f t="shared" si="23"/>
        <v>-29630000</v>
      </c>
      <c r="H83" s="170"/>
      <c r="I83" s="69">
        <f>G83+H83</f>
        <v>-29630000</v>
      </c>
      <c r="J83" s="53">
        <v>-31938000</v>
      </c>
      <c r="K83" s="53">
        <v>-33628000</v>
      </c>
      <c r="L83" s="53">
        <v>-14810331.760000002</v>
      </c>
      <c r="M83" s="53"/>
      <c r="N83" s="53">
        <f t="shared" ref="N83" si="24">I83-L83-M83</f>
        <v>-14819668.239999998</v>
      </c>
    </row>
    <row r="84" spans="1:14" s="77" customFormat="1" ht="13.5" thickBot="1" x14ac:dyDescent="0.35">
      <c r="A84" s="51"/>
      <c r="B84" s="51"/>
      <c r="C84" s="67"/>
      <c r="D84" s="67"/>
      <c r="E84" s="53">
        <f t="shared" si="4"/>
        <v>0</v>
      </c>
      <c r="F84" s="53"/>
      <c r="G84" s="53">
        <f t="shared" si="23"/>
        <v>0</v>
      </c>
      <c r="H84" s="170"/>
      <c r="I84" s="53"/>
      <c r="J84" s="67"/>
      <c r="K84" s="67"/>
      <c r="L84" s="67"/>
      <c r="M84" s="67"/>
      <c r="N84" s="51"/>
    </row>
    <row r="85" spans="1:14" s="77" customFormat="1" ht="13.5" thickBot="1" x14ac:dyDescent="0.35">
      <c r="A85" s="57" t="s">
        <v>202</v>
      </c>
      <c r="B85" s="57"/>
      <c r="C85" s="59">
        <f>SUM(C83:C84)</f>
        <v>-29630000</v>
      </c>
      <c r="D85" s="59">
        <f t="shared" ref="D85:N85" si="25">SUM(D83:D84)</f>
        <v>0</v>
      </c>
      <c r="E85" s="59">
        <f t="shared" si="25"/>
        <v>-29630000</v>
      </c>
      <c r="F85" s="59">
        <f t="shared" si="25"/>
        <v>0</v>
      </c>
      <c r="G85" s="59">
        <f t="shared" si="25"/>
        <v>-29630000</v>
      </c>
      <c r="H85" s="171">
        <f t="shared" si="25"/>
        <v>0</v>
      </c>
      <c r="I85" s="59">
        <f t="shared" si="25"/>
        <v>-29630000</v>
      </c>
      <c r="J85" s="59">
        <f t="shared" si="25"/>
        <v>-31938000</v>
      </c>
      <c r="K85" s="59">
        <f t="shared" si="25"/>
        <v>-33628000</v>
      </c>
      <c r="L85" s="59">
        <f t="shared" si="25"/>
        <v>-14810331.760000002</v>
      </c>
      <c r="M85" s="59">
        <f t="shared" si="25"/>
        <v>0</v>
      </c>
      <c r="N85" s="59">
        <f t="shared" si="25"/>
        <v>-14819668.239999998</v>
      </c>
    </row>
    <row r="86" spans="1:14" s="77" customFormat="1" ht="13.5" thickTop="1" x14ac:dyDescent="0.3">
      <c r="A86" s="51"/>
      <c r="B86" s="51"/>
      <c r="C86" s="67"/>
      <c r="D86" s="67"/>
      <c r="E86" s="53">
        <f t="shared" si="4"/>
        <v>0</v>
      </c>
      <c r="F86" s="53"/>
      <c r="G86" s="53">
        <f t="shared" si="23"/>
        <v>0</v>
      </c>
      <c r="H86" s="170"/>
      <c r="I86" s="53"/>
      <c r="J86" s="67"/>
      <c r="K86" s="67"/>
      <c r="L86" s="67"/>
      <c r="M86" s="67"/>
      <c r="N86" s="51"/>
    </row>
    <row r="87" spans="1:14" s="77" customFormat="1" x14ac:dyDescent="0.3">
      <c r="A87" s="51" t="s">
        <v>460</v>
      </c>
      <c r="B87" s="51"/>
      <c r="C87" s="67"/>
      <c r="D87" s="67"/>
      <c r="E87" s="53">
        <f t="shared" si="4"/>
        <v>0</v>
      </c>
      <c r="F87" s="53"/>
      <c r="G87" s="53">
        <f t="shared" si="23"/>
        <v>0</v>
      </c>
      <c r="H87" s="170"/>
      <c r="I87" s="53"/>
      <c r="J87" s="67"/>
      <c r="K87" s="67"/>
      <c r="L87" s="67"/>
      <c r="M87" s="67"/>
      <c r="N87" s="51"/>
    </row>
    <row r="88" spans="1:14" s="77" customFormat="1" x14ac:dyDescent="0.3">
      <c r="A88" s="51"/>
      <c r="B88" s="51"/>
      <c r="C88" s="67"/>
      <c r="D88" s="67"/>
      <c r="E88" s="53">
        <f t="shared" ref="E88:E119" si="26">C88+D88</f>
        <v>0</v>
      </c>
      <c r="F88" s="53"/>
      <c r="G88" s="53">
        <f t="shared" si="23"/>
        <v>0</v>
      </c>
      <c r="H88" s="170"/>
      <c r="I88" s="53"/>
      <c r="J88" s="67"/>
      <c r="K88" s="67"/>
      <c r="L88" s="67"/>
      <c r="M88" s="67"/>
      <c r="N88" s="51"/>
    </row>
    <row r="89" spans="1:14" x14ac:dyDescent="0.3">
      <c r="A89" s="52" t="s">
        <v>1155</v>
      </c>
      <c r="B89" s="52" t="s">
        <v>372</v>
      </c>
      <c r="C89" s="53">
        <v>70000</v>
      </c>
      <c r="D89" s="53"/>
      <c r="E89" s="53">
        <f t="shared" si="26"/>
        <v>70000</v>
      </c>
      <c r="F89" s="53"/>
      <c r="G89" s="53">
        <f t="shared" si="23"/>
        <v>70000</v>
      </c>
      <c r="H89" s="170">
        <v>-70000</v>
      </c>
      <c r="I89" s="69">
        <f t="shared" ref="I89:I101" si="27">G89+H89</f>
        <v>0</v>
      </c>
      <c r="J89" s="53">
        <f t="shared" ref="J89:J101" si="28">C89*104.6%</f>
        <v>73220</v>
      </c>
      <c r="K89" s="53">
        <f>J89*104.6%</f>
        <v>76588.12000000001</v>
      </c>
      <c r="L89" s="53"/>
      <c r="M89" s="53"/>
      <c r="N89" s="53">
        <f t="shared" ref="N89:N102" si="29">I89-L89-M89</f>
        <v>0</v>
      </c>
    </row>
    <row r="90" spans="1:14" x14ac:dyDescent="0.3">
      <c r="A90" s="52" t="s">
        <v>1156</v>
      </c>
      <c r="B90" s="52" t="s">
        <v>225</v>
      </c>
      <c r="C90" s="53">
        <v>30000</v>
      </c>
      <c r="D90" s="53"/>
      <c r="E90" s="53">
        <f t="shared" si="26"/>
        <v>30000</v>
      </c>
      <c r="F90" s="53"/>
      <c r="G90" s="53">
        <f t="shared" si="23"/>
        <v>30000</v>
      </c>
      <c r="H90" s="170"/>
      <c r="I90" s="69">
        <f t="shared" si="27"/>
        <v>30000</v>
      </c>
      <c r="J90" s="53">
        <f t="shared" si="28"/>
        <v>31380</v>
      </c>
      <c r="K90" s="53">
        <f t="shared" ref="K90" si="30">J90*104.6%</f>
        <v>32823.480000000003</v>
      </c>
      <c r="L90" s="53"/>
      <c r="M90" s="53"/>
      <c r="N90" s="53">
        <f t="shared" si="29"/>
        <v>30000</v>
      </c>
    </row>
    <row r="91" spans="1:14" x14ac:dyDescent="0.3">
      <c r="A91" s="52"/>
      <c r="B91" s="52"/>
      <c r="C91" s="53"/>
      <c r="D91" s="53"/>
      <c r="E91" s="53">
        <f t="shared" si="26"/>
        <v>0</v>
      </c>
      <c r="F91" s="53"/>
      <c r="G91" s="53">
        <f t="shared" si="23"/>
        <v>0</v>
      </c>
      <c r="H91" s="170"/>
      <c r="I91" s="69">
        <f t="shared" si="27"/>
        <v>0</v>
      </c>
      <c r="J91" s="53">
        <f t="shared" si="28"/>
        <v>0</v>
      </c>
      <c r="K91" s="53">
        <f t="shared" ref="K91" si="31">J91*104.6%</f>
        <v>0</v>
      </c>
      <c r="L91" s="53"/>
      <c r="M91" s="53"/>
      <c r="N91" s="53">
        <f t="shared" si="29"/>
        <v>0</v>
      </c>
    </row>
    <row r="92" spans="1:14" x14ac:dyDescent="0.3">
      <c r="A92" s="52" t="s">
        <v>1176</v>
      </c>
      <c r="B92" s="52" t="s">
        <v>1172</v>
      </c>
      <c r="C92" s="53">
        <v>3300000</v>
      </c>
      <c r="D92" s="53">
        <v>-1300000</v>
      </c>
      <c r="E92" s="53">
        <f t="shared" si="26"/>
        <v>2000000</v>
      </c>
      <c r="F92" s="53"/>
      <c r="G92" s="53">
        <f t="shared" si="23"/>
        <v>2000000</v>
      </c>
      <c r="H92" s="170">
        <v>-1367011.79</v>
      </c>
      <c r="I92" s="69">
        <f t="shared" si="27"/>
        <v>632988.21</v>
      </c>
      <c r="J92" s="53">
        <f t="shared" si="28"/>
        <v>3451800</v>
      </c>
      <c r="K92" s="53">
        <f t="shared" ref="K92" si="32">J92*104.6%</f>
        <v>3610582.8000000003</v>
      </c>
      <c r="L92" s="53">
        <v>1651520.09</v>
      </c>
      <c r="M92" s="53"/>
      <c r="N92" s="53">
        <f t="shared" si="29"/>
        <v>-1018531.8800000001</v>
      </c>
    </row>
    <row r="93" spans="1:14" x14ac:dyDescent="0.3">
      <c r="A93" s="52"/>
      <c r="B93" s="52"/>
      <c r="C93" s="53"/>
      <c r="D93" s="53"/>
      <c r="E93" s="53">
        <f t="shared" si="26"/>
        <v>0</v>
      </c>
      <c r="F93" s="53"/>
      <c r="G93" s="53">
        <f t="shared" si="23"/>
        <v>0</v>
      </c>
      <c r="H93" s="170"/>
      <c r="I93" s="69">
        <f t="shared" si="27"/>
        <v>0</v>
      </c>
      <c r="J93" s="53">
        <f t="shared" si="28"/>
        <v>0</v>
      </c>
      <c r="K93" s="53">
        <f t="shared" ref="K93" si="33">J93*104.6%</f>
        <v>0</v>
      </c>
      <c r="L93" s="53"/>
      <c r="M93" s="53"/>
      <c r="N93" s="53">
        <f t="shared" si="29"/>
        <v>0</v>
      </c>
    </row>
    <row r="94" spans="1:14" x14ac:dyDescent="0.3">
      <c r="A94" s="52"/>
      <c r="B94" s="51" t="s">
        <v>480</v>
      </c>
      <c r="C94" s="53"/>
      <c r="D94" s="53"/>
      <c r="E94" s="53">
        <f t="shared" si="26"/>
        <v>0</v>
      </c>
      <c r="F94" s="53"/>
      <c r="G94" s="53">
        <f t="shared" si="23"/>
        <v>0</v>
      </c>
      <c r="H94" s="170"/>
      <c r="I94" s="69">
        <f t="shared" si="27"/>
        <v>0</v>
      </c>
      <c r="J94" s="53">
        <f t="shared" si="28"/>
        <v>0</v>
      </c>
      <c r="K94" s="53">
        <f t="shared" ref="K94" si="34">J94*104.6%</f>
        <v>0</v>
      </c>
      <c r="L94" s="53"/>
      <c r="M94" s="53"/>
      <c r="N94" s="53">
        <f t="shared" si="29"/>
        <v>0</v>
      </c>
    </row>
    <row r="95" spans="1:14" x14ac:dyDescent="0.3">
      <c r="A95" s="52" t="s">
        <v>1157</v>
      </c>
      <c r="B95" s="52" t="s">
        <v>46</v>
      </c>
      <c r="C95" s="53">
        <v>50000</v>
      </c>
      <c r="D95" s="53"/>
      <c r="E95" s="53">
        <f t="shared" si="26"/>
        <v>50000</v>
      </c>
      <c r="F95" s="53"/>
      <c r="G95" s="53">
        <f t="shared" si="23"/>
        <v>50000</v>
      </c>
      <c r="H95" s="170"/>
      <c r="I95" s="69">
        <f t="shared" si="27"/>
        <v>50000</v>
      </c>
      <c r="J95" s="53">
        <f t="shared" si="28"/>
        <v>52300</v>
      </c>
      <c r="K95" s="53">
        <f t="shared" ref="K95" si="35">J95*104.6%</f>
        <v>54705.8</v>
      </c>
      <c r="L95" s="53"/>
      <c r="M95" s="53"/>
      <c r="N95" s="53">
        <f t="shared" si="29"/>
        <v>50000</v>
      </c>
    </row>
    <row r="96" spans="1:14" x14ac:dyDescent="0.3">
      <c r="A96" s="52" t="s">
        <v>1158</v>
      </c>
      <c r="B96" s="52" t="s">
        <v>1326</v>
      </c>
      <c r="C96" s="53">
        <v>10000</v>
      </c>
      <c r="D96" s="53"/>
      <c r="E96" s="53">
        <f t="shared" si="26"/>
        <v>10000</v>
      </c>
      <c r="F96" s="53"/>
      <c r="G96" s="53">
        <f t="shared" si="23"/>
        <v>10000</v>
      </c>
      <c r="H96" s="170"/>
      <c r="I96" s="69">
        <f t="shared" si="27"/>
        <v>10000</v>
      </c>
      <c r="J96" s="53">
        <f t="shared" si="28"/>
        <v>10460</v>
      </c>
      <c r="K96" s="53">
        <f t="shared" ref="K96" si="36">J96*104.6%</f>
        <v>10941.16</v>
      </c>
      <c r="L96" s="53"/>
      <c r="M96" s="53"/>
      <c r="N96" s="53">
        <f t="shared" si="29"/>
        <v>10000</v>
      </c>
    </row>
    <row r="97" spans="1:14" x14ac:dyDescent="0.3">
      <c r="A97" s="52" t="s">
        <v>1159</v>
      </c>
      <c r="B97" s="52" t="s">
        <v>1327</v>
      </c>
      <c r="C97" s="53">
        <v>50000</v>
      </c>
      <c r="D97" s="53"/>
      <c r="E97" s="53">
        <f t="shared" si="26"/>
        <v>50000</v>
      </c>
      <c r="F97" s="53"/>
      <c r="G97" s="53">
        <f t="shared" si="23"/>
        <v>50000</v>
      </c>
      <c r="H97" s="170"/>
      <c r="I97" s="69">
        <f t="shared" si="27"/>
        <v>50000</v>
      </c>
      <c r="J97" s="53">
        <f t="shared" si="28"/>
        <v>52300</v>
      </c>
      <c r="K97" s="53">
        <f t="shared" ref="K97" si="37">J97*104.6%</f>
        <v>54705.8</v>
      </c>
      <c r="L97" s="53">
        <v>45354.5</v>
      </c>
      <c r="M97" s="53"/>
      <c r="N97" s="53">
        <f t="shared" si="29"/>
        <v>4645.5</v>
      </c>
    </row>
    <row r="98" spans="1:14" x14ac:dyDescent="0.3">
      <c r="A98" s="52" t="s">
        <v>1160</v>
      </c>
      <c r="B98" s="52" t="s">
        <v>527</v>
      </c>
      <c r="C98" s="53">
        <v>20000</v>
      </c>
      <c r="D98" s="53"/>
      <c r="E98" s="53">
        <f t="shared" si="26"/>
        <v>20000</v>
      </c>
      <c r="F98" s="53"/>
      <c r="G98" s="53">
        <f t="shared" si="23"/>
        <v>20000</v>
      </c>
      <c r="H98" s="170"/>
      <c r="I98" s="69">
        <f t="shared" si="27"/>
        <v>20000</v>
      </c>
      <c r="J98" s="53">
        <f t="shared" si="28"/>
        <v>20920</v>
      </c>
      <c r="K98" s="53">
        <f t="shared" ref="K98" si="38">J98*104.6%</f>
        <v>21882.32</v>
      </c>
      <c r="L98" s="53"/>
      <c r="M98" s="53"/>
      <c r="N98" s="53">
        <f t="shared" si="29"/>
        <v>20000</v>
      </c>
    </row>
    <row r="99" spans="1:14" x14ac:dyDescent="0.3">
      <c r="A99" s="52"/>
      <c r="B99" s="52"/>
      <c r="C99" s="53"/>
      <c r="D99" s="53"/>
      <c r="E99" s="53">
        <f t="shared" si="26"/>
        <v>0</v>
      </c>
      <c r="F99" s="53"/>
      <c r="G99" s="53">
        <f t="shared" si="23"/>
        <v>0</v>
      </c>
      <c r="H99" s="170"/>
      <c r="I99" s="69">
        <f t="shared" si="27"/>
        <v>0</v>
      </c>
      <c r="J99" s="53">
        <f t="shared" si="28"/>
        <v>0</v>
      </c>
      <c r="K99" s="53">
        <f t="shared" ref="K99" si="39">J99*104.6%</f>
        <v>0</v>
      </c>
      <c r="L99" s="53"/>
      <c r="M99" s="53"/>
      <c r="N99" s="53">
        <f t="shared" si="29"/>
        <v>0</v>
      </c>
    </row>
    <row r="100" spans="1:14" x14ac:dyDescent="0.3">
      <c r="A100" s="52"/>
      <c r="B100" s="51" t="s">
        <v>554</v>
      </c>
      <c r="C100" s="53">
        <v>0</v>
      </c>
      <c r="D100" s="53"/>
      <c r="E100" s="53">
        <f t="shared" si="26"/>
        <v>0</v>
      </c>
      <c r="F100" s="53"/>
      <c r="G100" s="53">
        <f t="shared" si="23"/>
        <v>0</v>
      </c>
      <c r="H100" s="170"/>
      <c r="I100" s="69">
        <f t="shared" si="27"/>
        <v>0</v>
      </c>
      <c r="J100" s="53">
        <f t="shared" si="28"/>
        <v>0</v>
      </c>
      <c r="K100" s="53">
        <f t="shared" ref="K100" si="40">J100*104.6%</f>
        <v>0</v>
      </c>
      <c r="L100" s="53"/>
      <c r="M100" s="53"/>
      <c r="N100" s="53">
        <f t="shared" si="29"/>
        <v>0</v>
      </c>
    </row>
    <row r="101" spans="1:14" x14ac:dyDescent="0.3">
      <c r="A101" s="52" t="s">
        <v>1161</v>
      </c>
      <c r="B101" s="52" t="s">
        <v>490</v>
      </c>
      <c r="C101" s="53">
        <v>30000</v>
      </c>
      <c r="D101" s="53"/>
      <c r="E101" s="53">
        <f t="shared" si="26"/>
        <v>30000</v>
      </c>
      <c r="F101" s="53"/>
      <c r="G101" s="53">
        <f t="shared" si="23"/>
        <v>30000</v>
      </c>
      <c r="H101" s="170"/>
      <c r="I101" s="69">
        <f t="shared" si="27"/>
        <v>30000</v>
      </c>
      <c r="J101" s="53">
        <f t="shared" si="28"/>
        <v>31380</v>
      </c>
      <c r="K101" s="53">
        <f t="shared" ref="K101" si="41">J101*104.6%</f>
        <v>32823.480000000003</v>
      </c>
      <c r="L101" s="53">
        <v>3422.07</v>
      </c>
      <c r="M101" s="53"/>
      <c r="N101" s="53">
        <f t="shared" si="29"/>
        <v>26577.93</v>
      </c>
    </row>
    <row r="102" spans="1:14" ht="13.5" thickBot="1" x14ac:dyDescent="0.35">
      <c r="A102" s="56"/>
      <c r="B102" s="56"/>
      <c r="C102" s="69"/>
      <c r="D102" s="69"/>
      <c r="E102" s="53">
        <f t="shared" si="26"/>
        <v>0</v>
      </c>
      <c r="F102" s="69"/>
      <c r="G102" s="53">
        <f t="shared" si="23"/>
        <v>0</v>
      </c>
      <c r="H102" s="173"/>
      <c r="I102" s="69"/>
      <c r="J102" s="69"/>
      <c r="K102" s="69"/>
      <c r="L102" s="53"/>
      <c r="M102" s="53"/>
      <c r="N102" s="53">
        <f t="shared" si="29"/>
        <v>0</v>
      </c>
    </row>
    <row r="103" spans="1:14" ht="13.5" thickBot="1" x14ac:dyDescent="0.35">
      <c r="A103" s="57" t="s">
        <v>678</v>
      </c>
      <c r="B103" s="57"/>
      <c r="C103" s="59">
        <f>SUM(C89:C102)</f>
        <v>3560000</v>
      </c>
      <c r="D103" s="59">
        <f t="shared" ref="D103:N103" si="42">SUM(D89:D102)</f>
        <v>-1300000</v>
      </c>
      <c r="E103" s="59">
        <f t="shared" si="42"/>
        <v>2260000</v>
      </c>
      <c r="F103" s="59">
        <f t="shared" si="42"/>
        <v>0</v>
      </c>
      <c r="G103" s="59">
        <f t="shared" si="42"/>
        <v>2260000</v>
      </c>
      <c r="H103" s="171">
        <f t="shared" si="42"/>
        <v>-1437011.79</v>
      </c>
      <c r="I103" s="59">
        <f t="shared" si="42"/>
        <v>822988.21</v>
      </c>
      <c r="J103" s="59">
        <f t="shared" si="42"/>
        <v>3723760</v>
      </c>
      <c r="K103" s="59">
        <f t="shared" si="42"/>
        <v>3895052.96</v>
      </c>
      <c r="L103" s="59">
        <f t="shared" si="42"/>
        <v>1700296.6600000001</v>
      </c>
      <c r="M103" s="59">
        <f t="shared" si="42"/>
        <v>0</v>
      </c>
      <c r="N103" s="59">
        <f t="shared" si="42"/>
        <v>-877308.45000000007</v>
      </c>
    </row>
    <row r="104" spans="1:14" ht="13.5" thickTop="1" x14ac:dyDescent="0.3">
      <c r="A104" s="61"/>
      <c r="B104" s="61"/>
      <c r="C104" s="62"/>
      <c r="D104" s="62"/>
      <c r="E104" s="53">
        <f t="shared" si="26"/>
        <v>0</v>
      </c>
      <c r="F104" s="62"/>
      <c r="G104" s="53">
        <f t="shared" si="23"/>
        <v>0</v>
      </c>
      <c r="H104" s="172"/>
      <c r="I104" s="62"/>
      <c r="J104" s="62"/>
      <c r="K104" s="62"/>
      <c r="L104" s="53"/>
      <c r="M104" s="53"/>
      <c r="N104" s="52"/>
    </row>
    <row r="105" spans="1:14" x14ac:dyDescent="0.3">
      <c r="A105" s="51" t="s">
        <v>79</v>
      </c>
      <c r="B105" s="52"/>
      <c r="C105" s="53"/>
      <c r="D105" s="53"/>
      <c r="E105" s="53">
        <f t="shared" si="26"/>
        <v>0</v>
      </c>
      <c r="F105" s="53"/>
      <c r="G105" s="53">
        <f t="shared" si="23"/>
        <v>0</v>
      </c>
      <c r="H105" s="170"/>
      <c r="I105" s="53"/>
      <c r="J105" s="53"/>
      <c r="K105" s="53"/>
      <c r="L105" s="53"/>
      <c r="M105" s="53"/>
      <c r="N105" s="52"/>
    </row>
    <row r="106" spans="1:14" x14ac:dyDescent="0.3">
      <c r="A106" s="52"/>
      <c r="B106" s="52" t="s">
        <v>185</v>
      </c>
      <c r="C106" s="53"/>
      <c r="D106" s="53"/>
      <c r="E106" s="53">
        <f t="shared" si="26"/>
        <v>0</v>
      </c>
      <c r="F106" s="53"/>
      <c r="G106" s="53">
        <f t="shared" si="23"/>
        <v>0</v>
      </c>
      <c r="H106" s="170"/>
      <c r="I106" s="69">
        <f t="shared" ref="I106:I114" si="43">G106+H106</f>
        <v>0</v>
      </c>
      <c r="J106" s="53">
        <f t="shared" ref="J106:J114" si="44">C106*104.6%</f>
        <v>0</v>
      </c>
      <c r="K106" s="53">
        <f>J106*104.6%</f>
        <v>0</v>
      </c>
      <c r="L106" s="53"/>
      <c r="M106" s="53"/>
      <c r="N106" s="53">
        <f t="shared" ref="N106:N114" si="45">I106-L106-M106</f>
        <v>0</v>
      </c>
    </row>
    <row r="107" spans="1:14" x14ac:dyDescent="0.3">
      <c r="A107" s="52"/>
      <c r="B107" s="52" t="s">
        <v>176</v>
      </c>
      <c r="C107" s="53"/>
      <c r="D107" s="53"/>
      <c r="E107" s="53">
        <f t="shared" si="26"/>
        <v>0</v>
      </c>
      <c r="F107" s="53"/>
      <c r="G107" s="53">
        <f t="shared" si="23"/>
        <v>0</v>
      </c>
      <c r="H107" s="170"/>
      <c r="I107" s="69">
        <f t="shared" si="43"/>
        <v>0</v>
      </c>
      <c r="J107" s="53">
        <f t="shared" si="44"/>
        <v>0</v>
      </c>
      <c r="K107" s="53">
        <f t="shared" ref="K107" si="46">J107*104.6%</f>
        <v>0</v>
      </c>
      <c r="L107" s="53"/>
      <c r="M107" s="53"/>
      <c r="N107" s="53">
        <f t="shared" si="45"/>
        <v>0</v>
      </c>
    </row>
    <row r="108" spans="1:14" x14ac:dyDescent="0.3">
      <c r="A108" s="52"/>
      <c r="B108" s="52" t="s">
        <v>182</v>
      </c>
      <c r="C108" s="53"/>
      <c r="D108" s="53"/>
      <c r="E108" s="53">
        <f t="shared" si="26"/>
        <v>0</v>
      </c>
      <c r="F108" s="53"/>
      <c r="G108" s="53">
        <f t="shared" si="23"/>
        <v>0</v>
      </c>
      <c r="H108" s="170"/>
      <c r="I108" s="69">
        <f t="shared" si="43"/>
        <v>0</v>
      </c>
      <c r="J108" s="53">
        <f t="shared" si="44"/>
        <v>0</v>
      </c>
      <c r="K108" s="53">
        <f t="shared" ref="K108" si="47">J108*104.6%</f>
        <v>0</v>
      </c>
      <c r="L108" s="53"/>
      <c r="M108" s="53"/>
      <c r="N108" s="53">
        <f t="shared" si="45"/>
        <v>0</v>
      </c>
    </row>
    <row r="109" spans="1:14" x14ac:dyDescent="0.3">
      <c r="A109" s="52"/>
      <c r="B109" s="52" t="s">
        <v>59</v>
      </c>
      <c r="C109" s="53"/>
      <c r="D109" s="53"/>
      <c r="E109" s="53">
        <f t="shared" si="26"/>
        <v>0</v>
      </c>
      <c r="F109" s="53"/>
      <c r="G109" s="53">
        <f t="shared" si="23"/>
        <v>0</v>
      </c>
      <c r="H109" s="170"/>
      <c r="I109" s="69">
        <f t="shared" si="43"/>
        <v>0</v>
      </c>
      <c r="J109" s="53">
        <f t="shared" si="44"/>
        <v>0</v>
      </c>
      <c r="K109" s="53">
        <f t="shared" ref="K109" si="48">J109*104.6%</f>
        <v>0</v>
      </c>
      <c r="L109" s="53"/>
      <c r="M109" s="53"/>
      <c r="N109" s="53">
        <f t="shared" si="45"/>
        <v>0</v>
      </c>
    </row>
    <row r="110" spans="1:14" x14ac:dyDescent="0.3">
      <c r="A110" s="52"/>
      <c r="B110" s="52" t="s">
        <v>168</v>
      </c>
      <c r="C110" s="53"/>
      <c r="D110" s="53"/>
      <c r="E110" s="53">
        <f t="shared" si="26"/>
        <v>0</v>
      </c>
      <c r="F110" s="53"/>
      <c r="G110" s="53">
        <f t="shared" si="23"/>
        <v>0</v>
      </c>
      <c r="H110" s="170"/>
      <c r="I110" s="69">
        <f t="shared" si="43"/>
        <v>0</v>
      </c>
      <c r="J110" s="53">
        <f t="shared" si="44"/>
        <v>0</v>
      </c>
      <c r="K110" s="53">
        <f t="shared" ref="K110" si="49">J110*104.6%</f>
        <v>0</v>
      </c>
      <c r="L110" s="53"/>
      <c r="M110" s="53"/>
      <c r="N110" s="53">
        <f t="shared" si="45"/>
        <v>0</v>
      </c>
    </row>
    <row r="111" spans="1:14" x14ac:dyDescent="0.3">
      <c r="A111" s="52"/>
      <c r="B111" s="52" t="s">
        <v>173</v>
      </c>
      <c r="C111" s="53"/>
      <c r="D111" s="53"/>
      <c r="E111" s="53">
        <f t="shared" si="26"/>
        <v>0</v>
      </c>
      <c r="F111" s="53"/>
      <c r="G111" s="53">
        <f t="shared" si="23"/>
        <v>0</v>
      </c>
      <c r="H111" s="170"/>
      <c r="I111" s="69">
        <f t="shared" si="43"/>
        <v>0</v>
      </c>
      <c r="J111" s="53">
        <f t="shared" si="44"/>
        <v>0</v>
      </c>
      <c r="K111" s="53">
        <f t="shared" ref="K111" si="50">J111*104.6%</f>
        <v>0</v>
      </c>
      <c r="L111" s="53"/>
      <c r="M111" s="53"/>
      <c r="N111" s="53">
        <f t="shared" si="45"/>
        <v>0</v>
      </c>
    </row>
    <row r="112" spans="1:14" x14ac:dyDescent="0.3">
      <c r="A112" s="52"/>
      <c r="B112" s="52" t="s">
        <v>192</v>
      </c>
      <c r="C112" s="53"/>
      <c r="D112" s="53"/>
      <c r="E112" s="53">
        <f t="shared" si="26"/>
        <v>0</v>
      </c>
      <c r="F112" s="53"/>
      <c r="G112" s="53">
        <f t="shared" si="23"/>
        <v>0</v>
      </c>
      <c r="H112" s="170"/>
      <c r="I112" s="69">
        <f t="shared" si="43"/>
        <v>0</v>
      </c>
      <c r="J112" s="53">
        <f t="shared" si="44"/>
        <v>0</v>
      </c>
      <c r="K112" s="53">
        <f t="shared" ref="K112" si="51">J112*104.6%</f>
        <v>0</v>
      </c>
      <c r="L112" s="53"/>
      <c r="M112" s="53"/>
      <c r="N112" s="53">
        <f t="shared" si="45"/>
        <v>0</v>
      </c>
    </row>
    <row r="113" spans="1:14" x14ac:dyDescent="0.3">
      <c r="A113" s="52"/>
      <c r="B113" s="52" t="s">
        <v>57</v>
      </c>
      <c r="C113" s="53"/>
      <c r="D113" s="53"/>
      <c r="E113" s="53">
        <f t="shared" si="26"/>
        <v>0</v>
      </c>
      <c r="F113" s="53"/>
      <c r="G113" s="53">
        <f t="shared" si="23"/>
        <v>0</v>
      </c>
      <c r="H113" s="170"/>
      <c r="I113" s="69">
        <f t="shared" si="43"/>
        <v>0</v>
      </c>
      <c r="J113" s="53">
        <f t="shared" si="44"/>
        <v>0</v>
      </c>
      <c r="K113" s="53">
        <f t="shared" ref="K113" si="52">J113*104.6%</f>
        <v>0</v>
      </c>
      <c r="L113" s="53"/>
      <c r="M113" s="53"/>
      <c r="N113" s="53">
        <f t="shared" si="45"/>
        <v>0</v>
      </c>
    </row>
    <row r="114" spans="1:14" ht="13.5" thickBot="1" x14ac:dyDescent="0.35">
      <c r="A114" s="52"/>
      <c r="B114" s="52" t="s">
        <v>179</v>
      </c>
      <c r="C114" s="53">
        <v>0</v>
      </c>
      <c r="D114" s="53"/>
      <c r="E114" s="53">
        <f t="shared" si="26"/>
        <v>0</v>
      </c>
      <c r="F114" s="53"/>
      <c r="G114" s="53">
        <f t="shared" si="23"/>
        <v>0</v>
      </c>
      <c r="H114" s="170"/>
      <c r="I114" s="69">
        <f t="shared" si="43"/>
        <v>0</v>
      </c>
      <c r="J114" s="53">
        <f t="shared" si="44"/>
        <v>0</v>
      </c>
      <c r="K114" s="53">
        <f t="shared" ref="K114" si="53">J114*104.6%</f>
        <v>0</v>
      </c>
      <c r="L114" s="53"/>
      <c r="M114" s="53"/>
      <c r="N114" s="53">
        <f t="shared" si="45"/>
        <v>0</v>
      </c>
    </row>
    <row r="115" spans="1:14" s="77" customFormat="1" ht="13.5" thickBot="1" x14ac:dyDescent="0.35">
      <c r="A115" s="57" t="s">
        <v>259</v>
      </c>
      <c r="B115" s="57"/>
      <c r="C115" s="59">
        <f>SUM(C106:C114)</f>
        <v>0</v>
      </c>
      <c r="D115" s="59">
        <f t="shared" ref="D115:N115" si="54">SUM(D106:D114)</f>
        <v>0</v>
      </c>
      <c r="E115" s="59">
        <f t="shared" si="54"/>
        <v>0</v>
      </c>
      <c r="F115" s="59"/>
      <c r="G115" s="59">
        <f t="shared" si="54"/>
        <v>0</v>
      </c>
      <c r="H115" s="171">
        <f t="shared" si="54"/>
        <v>0</v>
      </c>
      <c r="I115" s="59">
        <f t="shared" si="54"/>
        <v>0</v>
      </c>
      <c r="J115" s="59">
        <f t="shared" si="54"/>
        <v>0</v>
      </c>
      <c r="K115" s="59">
        <f t="shared" si="54"/>
        <v>0</v>
      </c>
      <c r="L115" s="59">
        <f t="shared" si="54"/>
        <v>0</v>
      </c>
      <c r="M115" s="59"/>
      <c r="N115" s="59">
        <f t="shared" si="54"/>
        <v>0</v>
      </c>
    </row>
    <row r="116" spans="1:14" s="77" customFormat="1" ht="13.5" thickTop="1" x14ac:dyDescent="0.3">
      <c r="A116" s="106"/>
      <c r="B116" s="106"/>
      <c r="C116" s="107"/>
      <c r="D116" s="107"/>
      <c r="E116" s="101"/>
      <c r="F116" s="101"/>
      <c r="G116" s="101">
        <f t="shared" si="23"/>
        <v>0</v>
      </c>
      <c r="H116" s="206"/>
      <c r="I116" s="101"/>
      <c r="J116" s="107"/>
      <c r="K116" s="107"/>
      <c r="L116" s="107"/>
      <c r="M116" s="107"/>
      <c r="N116" s="106"/>
    </row>
    <row r="117" spans="1:14" ht="13.5" thickBot="1" x14ac:dyDescent="0.35">
      <c r="A117" s="84"/>
      <c r="B117" s="84"/>
      <c r="C117" s="114"/>
      <c r="D117" s="114"/>
      <c r="E117" s="114">
        <f t="shared" si="26"/>
        <v>0</v>
      </c>
      <c r="F117" s="114"/>
      <c r="G117" s="114">
        <f t="shared" si="23"/>
        <v>0</v>
      </c>
      <c r="H117" s="195"/>
      <c r="I117" s="114"/>
      <c r="J117" s="114"/>
      <c r="K117" s="114"/>
      <c r="L117" s="114"/>
      <c r="M117" s="114"/>
      <c r="N117" s="84"/>
    </row>
    <row r="118" spans="1:14" s="77" customFormat="1" ht="13.5" thickBot="1" x14ac:dyDescent="0.35">
      <c r="A118" s="70" t="s">
        <v>705</v>
      </c>
      <c r="B118" s="70"/>
      <c r="C118" s="72">
        <f>+C115+C103</f>
        <v>3560000</v>
      </c>
      <c r="D118" s="72">
        <f t="shared" ref="D118:N118" si="55">+D115+D103</f>
        <v>-1300000</v>
      </c>
      <c r="E118" s="72">
        <f t="shared" si="55"/>
        <v>2260000</v>
      </c>
      <c r="F118" s="72">
        <f t="shared" si="55"/>
        <v>0</v>
      </c>
      <c r="G118" s="72">
        <f t="shared" si="55"/>
        <v>2260000</v>
      </c>
      <c r="H118" s="177">
        <f t="shared" si="55"/>
        <v>-1437011.79</v>
      </c>
      <c r="I118" s="72">
        <f t="shared" si="55"/>
        <v>822988.21</v>
      </c>
      <c r="J118" s="72">
        <f t="shared" si="55"/>
        <v>3723760</v>
      </c>
      <c r="K118" s="72">
        <f t="shared" si="55"/>
        <v>3895052.96</v>
      </c>
      <c r="L118" s="72">
        <f t="shared" si="55"/>
        <v>1700296.6600000001</v>
      </c>
      <c r="M118" s="72">
        <f t="shared" si="55"/>
        <v>0</v>
      </c>
      <c r="N118" s="72">
        <f t="shared" si="55"/>
        <v>-877308.45000000007</v>
      </c>
    </row>
    <row r="119" spans="1:14" s="77" customFormat="1" ht="14" thickTop="1" thickBot="1" x14ac:dyDescent="0.35">
      <c r="A119" s="74"/>
      <c r="B119" s="74"/>
      <c r="C119" s="80"/>
      <c r="D119" s="80"/>
      <c r="E119" s="69">
        <f t="shared" si="26"/>
        <v>0</v>
      </c>
      <c r="F119" s="79"/>
      <c r="G119" s="69">
        <f t="shared" si="23"/>
        <v>0</v>
      </c>
      <c r="H119" s="174"/>
      <c r="I119" s="79"/>
      <c r="J119" s="80"/>
      <c r="K119" s="80"/>
      <c r="L119" s="67"/>
      <c r="M119" s="67"/>
      <c r="N119" s="51"/>
    </row>
    <row r="120" spans="1:14" s="77" customFormat="1" ht="13.5" thickBot="1" x14ac:dyDescent="0.35">
      <c r="A120" s="75" t="s">
        <v>870</v>
      </c>
      <c r="B120" s="75"/>
      <c r="C120" s="100">
        <f>C118+C77</f>
        <v>21904767.043875001</v>
      </c>
      <c r="D120" s="100">
        <f>D118+D77</f>
        <v>0</v>
      </c>
      <c r="E120" s="100">
        <f>E118+E77</f>
        <v>21904767.043875001</v>
      </c>
      <c r="F120" s="100">
        <f t="shared" ref="F120:N120" si="56">F118+F77</f>
        <v>14000000</v>
      </c>
      <c r="G120" s="100">
        <f t="shared" si="56"/>
        <v>35904767.043875001</v>
      </c>
      <c r="H120" s="190">
        <f t="shared" si="56"/>
        <v>-829136.35679375182</v>
      </c>
      <c r="I120" s="100">
        <f t="shared" si="56"/>
        <v>35075630.687081255</v>
      </c>
      <c r="J120" s="100">
        <f t="shared" si="56"/>
        <v>22912386.32789325</v>
      </c>
      <c r="K120" s="100">
        <f t="shared" si="56"/>
        <v>23966356.09897634</v>
      </c>
      <c r="L120" s="100">
        <f t="shared" si="56"/>
        <v>15956557.130000003</v>
      </c>
      <c r="M120" s="100">
        <f t="shared" si="56"/>
        <v>432586.47000000003</v>
      </c>
      <c r="N120" s="100">
        <f t="shared" si="56"/>
        <v>18686487.08708125</v>
      </c>
    </row>
    <row r="121" spans="1:14" s="77" customFormat="1" ht="13.5" thickBot="1" x14ac:dyDescent="0.35">
      <c r="A121" s="116" t="s">
        <v>696</v>
      </c>
      <c r="B121" s="159"/>
      <c r="C121" s="160">
        <f t="shared" ref="C121:N121" si="57">C118+C77+C85+C11</f>
        <v>-9485232.9561249986</v>
      </c>
      <c r="D121" s="160">
        <f t="shared" si="57"/>
        <v>0</v>
      </c>
      <c r="E121" s="160">
        <f t="shared" si="57"/>
        <v>-9485232.9561249986</v>
      </c>
      <c r="F121" s="160">
        <f t="shared" si="57"/>
        <v>14000000</v>
      </c>
      <c r="G121" s="160">
        <f t="shared" si="57"/>
        <v>4514767.0438750014</v>
      </c>
      <c r="H121" s="207">
        <f t="shared" si="57"/>
        <v>-829136.35679375182</v>
      </c>
      <c r="I121" s="160">
        <f t="shared" si="57"/>
        <v>3685630.687081255</v>
      </c>
      <c r="J121" s="160">
        <f t="shared" si="57"/>
        <v>-9025613.6721067503</v>
      </c>
      <c r="K121" s="160">
        <f t="shared" si="57"/>
        <v>-9661643.9010236599</v>
      </c>
      <c r="L121" s="160">
        <f t="shared" si="57"/>
        <v>-282845.429999999</v>
      </c>
      <c r="M121" s="160">
        <f t="shared" si="57"/>
        <v>432586.47000000003</v>
      </c>
      <c r="N121" s="160">
        <f t="shared" si="57"/>
        <v>3535889.6470812513</v>
      </c>
    </row>
    <row r="122" spans="1:14" ht="13.5" thickTop="1" x14ac:dyDescent="0.3"/>
  </sheetData>
  <sortState xmlns:xlrd2="http://schemas.microsoft.com/office/spreadsheetml/2017/richdata2" ref="A15:U38">
    <sortCondition ref="B15:B38"/>
  </sortState>
  <mergeCells count="1">
    <mergeCell ref="A2:K2"/>
  </mergeCells>
  <printOptions gridLines="1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35"/>
  <sheetViews>
    <sheetView view="pageBreakPreview" zoomScale="80" zoomScaleNormal="100" zoomScaleSheetLayoutView="80" workbookViewId="0">
      <pane xSplit="1" ySplit="2" topLeftCell="D11" activePane="bottomRight" state="frozen"/>
      <selection activeCell="B183" sqref="B183"/>
      <selection pane="topRight" activeCell="B183" sqref="B183"/>
      <selection pane="bottomLeft" activeCell="B183" sqref="B183"/>
      <selection pane="bottomRight" activeCell="M22" sqref="M22"/>
    </sheetView>
  </sheetViews>
  <sheetFormatPr defaultColWidth="9.1796875" defaultRowHeight="14.5" x14ac:dyDescent="0.35"/>
  <cols>
    <col min="1" max="1" width="39.81640625" style="36" bestFit="1" customWidth="1"/>
    <col min="2" max="2" width="21.54296875" style="36" hidden="1" customWidth="1"/>
    <col min="3" max="3" width="18.54296875" style="44" bestFit="1" customWidth="1"/>
    <col min="4" max="9" width="17.26953125" style="44" bestFit="1" customWidth="1"/>
    <col min="10" max="10" width="18.54296875" style="44" bestFit="1" customWidth="1"/>
    <col min="11" max="12" width="16.26953125" style="44" bestFit="1" customWidth="1"/>
    <col min="13" max="13" width="15.1796875" style="36" bestFit="1" customWidth="1"/>
    <col min="14" max="15" width="9.1796875" style="36"/>
    <col min="16" max="16" width="9.1796875" style="19"/>
    <col min="17" max="16384" width="9.1796875" style="36"/>
  </cols>
  <sheetData>
    <row r="1" spans="1:16" ht="19" thickBot="1" x14ac:dyDescent="0.5">
      <c r="A1" s="252" t="s">
        <v>1369</v>
      </c>
      <c r="B1" s="253"/>
      <c r="C1" s="253"/>
      <c r="D1" s="253"/>
      <c r="E1" s="253"/>
      <c r="F1" s="253"/>
      <c r="G1" s="253"/>
      <c r="H1" s="253"/>
      <c r="I1" s="253"/>
      <c r="J1" s="254"/>
    </row>
    <row r="2" spans="1:16" ht="37.5" thickBot="1" x14ac:dyDescent="0.5">
      <c r="A2" s="127" t="s">
        <v>407</v>
      </c>
      <c r="B2" s="127"/>
      <c r="C2" s="128" t="s">
        <v>400</v>
      </c>
      <c r="D2" s="150" t="s">
        <v>401</v>
      </c>
      <c r="E2" s="150" t="s">
        <v>402</v>
      </c>
      <c r="F2" s="150" t="s">
        <v>403</v>
      </c>
      <c r="G2" s="128" t="s">
        <v>404</v>
      </c>
      <c r="H2" s="150" t="s">
        <v>405</v>
      </c>
      <c r="I2" s="150" t="s">
        <v>406</v>
      </c>
      <c r="J2" s="128" t="s">
        <v>80</v>
      </c>
    </row>
    <row r="3" spans="1:16" ht="18.5" x14ac:dyDescent="0.45">
      <c r="A3" s="129"/>
      <c r="B3" s="129"/>
      <c r="C3" s="130"/>
      <c r="D3" s="130"/>
      <c r="E3" s="130"/>
      <c r="F3" s="130"/>
      <c r="G3" s="130"/>
      <c r="H3" s="130"/>
      <c r="I3" s="130"/>
      <c r="J3" s="130"/>
      <c r="P3" s="35"/>
    </row>
    <row r="4" spans="1:16" ht="18.5" x14ac:dyDescent="0.45">
      <c r="A4" s="131" t="s">
        <v>427</v>
      </c>
      <c r="B4" s="131"/>
      <c r="C4" s="132"/>
      <c r="D4" s="132"/>
      <c r="E4" s="132"/>
      <c r="F4" s="132"/>
      <c r="G4" s="132"/>
      <c r="H4" s="132"/>
      <c r="I4" s="132"/>
      <c r="J4" s="132"/>
    </row>
    <row r="5" spans="1:16" ht="18.5" x14ac:dyDescent="0.45">
      <c r="A5" s="133" t="s">
        <v>409</v>
      </c>
      <c r="B5" s="134" t="e">
        <f>FINANCE!#REF!</f>
        <v>#REF!</v>
      </c>
      <c r="C5" s="134">
        <f>FINANCE!I47</f>
        <v>-18988935.16</v>
      </c>
      <c r="D5" s="134"/>
      <c r="E5" s="134"/>
      <c r="F5" s="134"/>
      <c r="G5" s="134"/>
      <c r="H5" s="134"/>
      <c r="I5" s="134"/>
      <c r="J5" s="134">
        <f>SUM(C5:I5)</f>
        <v>-18988935.16</v>
      </c>
    </row>
    <row r="6" spans="1:16" ht="18.5" x14ac:dyDescent="0.45">
      <c r="A6" s="133" t="s">
        <v>724</v>
      </c>
      <c r="B6" s="134"/>
      <c r="C6" s="134"/>
      <c r="D6" s="134"/>
      <c r="E6" s="134"/>
      <c r="F6" s="134">
        <f>'COMMUNITY SERVICES'!I136</f>
        <v>-33478.299999999988</v>
      </c>
      <c r="G6" s="134"/>
      <c r="H6" s="134"/>
      <c r="I6" s="134"/>
      <c r="J6" s="134">
        <f t="shared" ref="J6:J10" si="0">SUM(C6:I6)</f>
        <v>-33478.299999999988</v>
      </c>
      <c r="L6" s="47"/>
    </row>
    <row r="7" spans="1:16" ht="18.5" x14ac:dyDescent="0.45">
      <c r="A7" s="133" t="s">
        <v>408</v>
      </c>
      <c r="B7" s="134" t="e">
        <f>FINANCE!#REF!</f>
        <v>#REF!</v>
      </c>
      <c r="C7" s="134">
        <f>FINANCE!I25</f>
        <v>-512954.52</v>
      </c>
      <c r="D7" s="134"/>
      <c r="E7" s="134"/>
      <c r="F7" s="134"/>
      <c r="G7" s="134"/>
      <c r="H7" s="134"/>
      <c r="I7" s="134"/>
      <c r="J7" s="134">
        <f t="shared" si="0"/>
        <v>-512954.52</v>
      </c>
      <c r="L7" s="47"/>
    </row>
    <row r="8" spans="1:16" ht="18.5" x14ac:dyDescent="0.45">
      <c r="A8" s="133" t="s">
        <v>410</v>
      </c>
      <c r="B8" s="134" t="e">
        <f>FINANCE!#REF!</f>
        <v>#REF!</v>
      </c>
      <c r="C8" s="134">
        <f>FINANCE!I8</f>
        <v>-6000000</v>
      </c>
      <c r="D8" s="134"/>
      <c r="E8" s="134"/>
      <c r="F8" s="134"/>
      <c r="G8" s="134"/>
      <c r="H8" s="134"/>
      <c r="I8" s="134"/>
      <c r="J8" s="134">
        <f t="shared" si="0"/>
        <v>-6000000</v>
      </c>
    </row>
    <row r="9" spans="1:16" ht="18.5" x14ac:dyDescent="0.45">
      <c r="A9" s="133" t="s">
        <v>411</v>
      </c>
      <c r="B9" s="134" t="e">
        <f>FINANCE!#REF!</f>
        <v>#REF!</v>
      </c>
      <c r="C9" s="134">
        <f>FINANCE!I9</f>
        <v>-870926.24</v>
      </c>
      <c r="D9" s="134"/>
      <c r="E9" s="134"/>
      <c r="F9" s="134"/>
      <c r="G9" s="134"/>
      <c r="H9" s="134"/>
      <c r="I9" s="134"/>
      <c r="J9" s="134">
        <f t="shared" si="0"/>
        <v>-870926.24</v>
      </c>
      <c r="M9" s="43"/>
    </row>
    <row r="10" spans="1:16" ht="18.5" x14ac:dyDescent="0.45">
      <c r="A10" s="133" t="s">
        <v>413</v>
      </c>
      <c r="B10" s="134" t="e">
        <f>FINANCE!#REF!</f>
        <v>#REF!</v>
      </c>
      <c r="C10" s="134">
        <f>FINANCE!I14</f>
        <v>-1500</v>
      </c>
      <c r="D10" s="134"/>
      <c r="E10" s="134"/>
      <c r="F10" s="134"/>
      <c r="G10" s="134"/>
      <c r="H10" s="134"/>
      <c r="I10" s="134"/>
      <c r="J10" s="134">
        <f t="shared" si="0"/>
        <v>-1500</v>
      </c>
      <c r="M10" s="43"/>
    </row>
    <row r="11" spans="1:16" ht="18.5" x14ac:dyDescent="0.45">
      <c r="A11" s="133" t="s">
        <v>414</v>
      </c>
      <c r="B11" s="134" t="e">
        <f>FINANCE!#REF!</f>
        <v>#REF!</v>
      </c>
      <c r="C11" s="134">
        <f>FINANCE!I52</f>
        <v>-161024000</v>
      </c>
      <c r="D11" s="134">
        <f>'MUNICIPAL MANAGER'!I10+'MUNICIPAL MANAGER'!I304</f>
        <v>-500000</v>
      </c>
      <c r="E11" s="134"/>
      <c r="F11" s="134">
        <f>'COMMUNITY SERVICES'!I13+'COMMUNITY SERVICES'!I164</f>
        <v>-32338000</v>
      </c>
      <c r="G11" s="134"/>
      <c r="H11" s="134"/>
      <c r="I11" s="134">
        <f>'TECHNICAL SERVICES'!I9</f>
        <v>-1760000</v>
      </c>
      <c r="J11" s="134">
        <f>SUM(C11:I11)</f>
        <v>-195622000</v>
      </c>
      <c r="M11" s="43"/>
    </row>
    <row r="12" spans="1:16" ht="19" thickBot="1" x14ac:dyDescent="0.5">
      <c r="A12" s="133" t="s">
        <v>415</v>
      </c>
      <c r="B12" s="134" t="e">
        <f>FINANCE!#REF!+FINANCE!#REF!</f>
        <v>#REF!</v>
      </c>
      <c r="C12" s="134">
        <f>FINANCE!I20+FINANCE!I33</f>
        <v>-1158000</v>
      </c>
      <c r="D12" s="134"/>
      <c r="E12" s="134"/>
      <c r="F12" s="134"/>
      <c r="G12" s="134"/>
      <c r="H12" s="134"/>
      <c r="I12" s="134"/>
      <c r="J12" s="134">
        <f>SUM(C12:I12)</f>
        <v>-1158000</v>
      </c>
    </row>
    <row r="13" spans="1:16" s="45" customFormat="1" ht="19" thickBot="1" x14ac:dyDescent="0.5">
      <c r="A13" s="135" t="s">
        <v>81</v>
      </c>
      <c r="B13" s="136" t="e">
        <f t="shared" ref="B13:J13" si="1">SUM(B5:B12)</f>
        <v>#REF!</v>
      </c>
      <c r="C13" s="136">
        <f t="shared" si="1"/>
        <v>-188556315.91999999</v>
      </c>
      <c r="D13" s="136">
        <f t="shared" si="1"/>
        <v>-500000</v>
      </c>
      <c r="E13" s="136">
        <f t="shared" si="1"/>
        <v>0</v>
      </c>
      <c r="F13" s="136">
        <f t="shared" si="1"/>
        <v>-32371478.300000001</v>
      </c>
      <c r="G13" s="136">
        <f t="shared" si="1"/>
        <v>0</v>
      </c>
      <c r="H13" s="136">
        <f t="shared" si="1"/>
        <v>0</v>
      </c>
      <c r="I13" s="136">
        <f t="shared" si="1"/>
        <v>-1760000</v>
      </c>
      <c r="J13" s="136">
        <f t="shared" si="1"/>
        <v>-223187794.22</v>
      </c>
      <c r="K13" s="236"/>
      <c r="L13" s="46"/>
      <c r="P13" s="18"/>
    </row>
    <row r="14" spans="1:16" s="45" customFormat="1" ht="19" thickTop="1" x14ac:dyDescent="0.45">
      <c r="A14" s="137"/>
      <c r="B14" s="137"/>
      <c r="C14" s="138"/>
      <c r="D14" s="138"/>
      <c r="E14" s="138"/>
      <c r="F14" s="138"/>
      <c r="G14" s="138"/>
      <c r="H14" s="138"/>
      <c r="I14" s="138"/>
      <c r="J14" s="138"/>
      <c r="K14" s="46"/>
      <c r="L14" s="126"/>
      <c r="P14" s="18"/>
    </row>
    <row r="15" spans="1:16" s="45" customFormat="1" ht="18.5" x14ac:dyDescent="0.45">
      <c r="A15" s="131" t="s">
        <v>417</v>
      </c>
      <c r="B15" s="131"/>
      <c r="C15" s="132"/>
      <c r="D15" s="132"/>
      <c r="E15" s="132"/>
      <c r="F15" s="132"/>
      <c r="G15" s="132"/>
      <c r="H15" s="132"/>
      <c r="I15" s="132"/>
      <c r="J15" s="132"/>
      <c r="K15" s="46"/>
      <c r="L15" s="46"/>
      <c r="P15" s="18"/>
    </row>
    <row r="16" spans="1:16" ht="18.5" x14ac:dyDescent="0.45">
      <c r="A16" s="133" t="s">
        <v>418</v>
      </c>
      <c r="B16" s="134" t="e">
        <f>FINANCE!#REF!</f>
        <v>#REF!</v>
      </c>
      <c r="C16" s="134">
        <f>FINANCE!I123</f>
        <v>12919657.920000002</v>
      </c>
      <c r="D16" s="134">
        <f>'MUNICIPAL MANAGER'!I358</f>
        <v>11874437.0669875</v>
      </c>
      <c r="E16" s="134">
        <f>'CORPORATE SERVICES'!I67+'CORPORATE SERVICES'!I104+'CORPORATE SERVICES'!I164+'CORPORATE SERVICES'!I188</f>
        <v>14168514.919964422</v>
      </c>
      <c r="F16" s="134">
        <f>'COMMUNITY SERVICES'!I35+'COMMUNITY SERVICES'!I125+'COMMUNITY SERVICES'!I155+'COMMUNITY SERVICES'!I224+'COMMUNITY SERVICES'!I185</f>
        <v>8253148.5502635418</v>
      </c>
      <c r="G16" s="134">
        <f>EDP!I81+EDP!I111</f>
        <v>6059768.5456547244</v>
      </c>
      <c r="H16" s="134"/>
      <c r="I16" s="134">
        <f>'TECHNICAL SERVICES'!I115+'TECHNICAL SERVICES'!I69</f>
        <v>10391094.966681249</v>
      </c>
      <c r="J16" s="134">
        <f>SUM(C16:I16)</f>
        <v>63666621.969551429</v>
      </c>
      <c r="L16" s="46"/>
    </row>
    <row r="17" spans="1:16" ht="18.5" x14ac:dyDescent="0.45">
      <c r="A17" s="133" t="s">
        <v>419</v>
      </c>
      <c r="B17" s="134"/>
      <c r="C17" s="134"/>
      <c r="D17" s="134"/>
      <c r="E17" s="134"/>
      <c r="F17" s="134"/>
      <c r="G17" s="134"/>
      <c r="H17" s="134">
        <f>'EXECUTIVE COUNCIL'!I41</f>
        <v>16246709.527600003</v>
      </c>
      <c r="I17" s="134"/>
      <c r="J17" s="134">
        <f t="shared" ref="J17:J21" si="2">SUM(C17:I17)</f>
        <v>16246709.527600003</v>
      </c>
    </row>
    <row r="18" spans="1:16" ht="18.5" x14ac:dyDescent="0.45">
      <c r="A18" s="133" t="s">
        <v>420</v>
      </c>
      <c r="B18" s="134" t="e">
        <f>FINANCE!#REF!</f>
        <v>#REF!</v>
      </c>
      <c r="C18" s="134">
        <f>FINANCE!I68</f>
        <v>22708672.537142858</v>
      </c>
      <c r="D18" s="134"/>
      <c r="E18" s="134"/>
      <c r="F18" s="134"/>
      <c r="G18" s="134"/>
      <c r="H18" s="134"/>
      <c r="I18" s="134"/>
      <c r="J18" s="134">
        <f t="shared" si="2"/>
        <v>22708672.537142858</v>
      </c>
    </row>
    <row r="19" spans="1:16" ht="18.5" x14ac:dyDescent="0.45">
      <c r="A19" s="133" t="s">
        <v>423</v>
      </c>
      <c r="B19" s="134" t="e">
        <f>FINANCE!#REF!+FINANCE!#REF!</f>
        <v>#REF!</v>
      </c>
      <c r="C19" s="134">
        <f>FINANCE!I138+FINANCE!I101</f>
        <v>14137565.532075001</v>
      </c>
      <c r="D19" s="134">
        <f>'MUNICIPAL MANAGER'!I339+'MUNICIPAL MANAGER'!I282+'MUNICIPAL MANAGER'!I242+'MUNICIPAL MANAGER'!I158+'MUNICIPAL MANAGER'!I26</f>
        <v>26206391.4577532</v>
      </c>
      <c r="E19" s="134">
        <f>'CORPORATE SERVICES'!I48+'CORPORATE SERVICES'!I91+'CORPORATE SERVICES'!I151+'CORPORATE SERVICES'!I175</f>
        <v>27617361.566702053</v>
      </c>
      <c r="F19" s="134">
        <f>'COMMUNITY SERVICES'!I22+'COMMUNITY SERVICES'!I113+'COMMUNITY SERVICES'!I142+'COMMUNITY SERVICES'!I172+'COMMUNITY SERVICES'!I204</f>
        <v>10564127.1429375</v>
      </c>
      <c r="G19" s="134">
        <f>EDP!I62+EDP!I99</f>
        <v>13411511.305846537</v>
      </c>
      <c r="H19" s="134">
        <f>'EXECUTIVE COUNCIL'!I18</f>
        <v>2152047.3942857143</v>
      </c>
      <c r="I19" s="134">
        <f>'TECHNICAL SERVICES'!I46+'TECHNICAL SERVICES'!I103</f>
        <v>21691535.720400002</v>
      </c>
      <c r="J19" s="134">
        <f>SUM(C19:I19)</f>
        <v>115780540.12</v>
      </c>
    </row>
    <row r="20" spans="1:16" ht="18.5" x14ac:dyDescent="0.45">
      <c r="A20" s="139" t="s">
        <v>83</v>
      </c>
      <c r="B20" s="140"/>
      <c r="C20" s="140">
        <f>FINANCE!I127</f>
        <v>733253.82</v>
      </c>
      <c r="D20" s="140"/>
      <c r="E20" s="140">
        <f>'CORPORATE SERVICES'!I71</f>
        <v>1000000</v>
      </c>
      <c r="F20" s="140">
        <v>0</v>
      </c>
      <c r="G20" s="140"/>
      <c r="H20" s="140"/>
      <c r="I20" s="140">
        <f>'TECHNICAL SERVICES'!I75</f>
        <v>2993000</v>
      </c>
      <c r="J20" s="134">
        <f>SUM(C20:I20)</f>
        <v>4726253.82</v>
      </c>
    </row>
    <row r="21" spans="1:16" ht="19" thickBot="1" x14ac:dyDescent="0.5">
      <c r="A21" s="139" t="s">
        <v>424</v>
      </c>
      <c r="B21" s="139"/>
      <c r="C21" s="140"/>
      <c r="D21" s="140"/>
      <c r="E21" s="140"/>
      <c r="F21" s="140"/>
      <c r="G21" s="140"/>
      <c r="H21" s="140"/>
      <c r="I21" s="140"/>
      <c r="J21" s="134">
        <f t="shared" si="2"/>
        <v>0</v>
      </c>
    </row>
    <row r="22" spans="1:16" s="45" customFormat="1" ht="19" thickBot="1" x14ac:dyDescent="0.5">
      <c r="A22" s="135" t="s">
        <v>82</v>
      </c>
      <c r="B22" s="135"/>
      <c r="C22" s="136">
        <f>SUM(C16:C21)</f>
        <v>50499149.809217863</v>
      </c>
      <c r="D22" s="136">
        <f t="shared" ref="D22:J22" si="3">SUM(D16:D21)</f>
        <v>38080828.524740696</v>
      </c>
      <c r="E22" s="136">
        <f t="shared" si="3"/>
        <v>42785876.486666471</v>
      </c>
      <c r="F22" s="136">
        <f t="shared" si="3"/>
        <v>18817275.693201043</v>
      </c>
      <c r="G22" s="136">
        <f t="shared" si="3"/>
        <v>19471279.85150126</v>
      </c>
      <c r="H22" s="136">
        <f t="shared" si="3"/>
        <v>18398756.921885718</v>
      </c>
      <c r="I22" s="136">
        <f>SUM(I16:I21)</f>
        <v>35075630.687081248</v>
      </c>
      <c r="J22" s="136">
        <f t="shared" si="3"/>
        <v>223128797.9742943</v>
      </c>
      <c r="K22" s="46"/>
      <c r="L22" s="46">
        <v>88396215.319999993</v>
      </c>
      <c r="M22" s="243">
        <f>L22+J22-J17-2500000</f>
        <v>292778303.76669431</v>
      </c>
      <c r="P22" s="18"/>
    </row>
    <row r="23" spans="1:16" s="45" customFormat="1" ht="19.5" thickTop="1" thickBot="1" x14ac:dyDescent="0.5">
      <c r="A23" s="141"/>
      <c r="B23" s="141"/>
      <c r="C23" s="142"/>
      <c r="D23" s="142"/>
      <c r="E23" s="142"/>
      <c r="F23" s="142"/>
      <c r="G23" s="142"/>
      <c r="H23" s="142"/>
      <c r="I23" s="142"/>
      <c r="J23" s="142"/>
      <c r="K23" s="46"/>
      <c r="L23" s="46">
        <f>J26+J13</f>
        <v>-252817794.22</v>
      </c>
      <c r="P23" s="18"/>
    </row>
    <row r="24" spans="1:16" s="18" customFormat="1" ht="19" thickBot="1" x14ac:dyDescent="0.5">
      <c r="A24" s="143" t="s">
        <v>672</v>
      </c>
      <c r="B24" s="143"/>
      <c r="C24" s="144">
        <f t="shared" ref="C24:H24" si="4">C22+C13</f>
        <v>-138057166.11078212</v>
      </c>
      <c r="D24" s="144">
        <f t="shared" si="4"/>
        <v>37580828.524740696</v>
      </c>
      <c r="E24" s="144">
        <f>E22+E13</f>
        <v>42785876.486666471</v>
      </c>
      <c r="F24" s="144">
        <f>F22+F13</f>
        <v>-13554202.606798958</v>
      </c>
      <c r="G24" s="144">
        <f t="shared" si="4"/>
        <v>19471279.85150126</v>
      </c>
      <c r="H24" s="144">
        <f t="shared" si="4"/>
        <v>18398756.921885718</v>
      </c>
      <c r="I24" s="144">
        <f>I22+I13</f>
        <v>33315630.687081248</v>
      </c>
      <c r="J24" s="144">
        <f>J22+J13</f>
        <v>-58996.24570569396</v>
      </c>
      <c r="K24" s="34"/>
      <c r="L24" s="34"/>
    </row>
    <row r="25" spans="1:16" s="45" customFormat="1" ht="19" thickTop="1" x14ac:dyDescent="0.45">
      <c r="A25" s="137"/>
      <c r="B25" s="137"/>
      <c r="C25" s="138"/>
      <c r="D25" s="138"/>
      <c r="E25" s="138"/>
      <c r="F25" s="138"/>
      <c r="G25" s="138"/>
      <c r="H25" s="138"/>
      <c r="I25" s="138"/>
      <c r="J25" s="138"/>
      <c r="K25" s="46"/>
      <c r="L25" s="46"/>
      <c r="P25" s="18"/>
    </row>
    <row r="26" spans="1:16" ht="18.5" x14ac:dyDescent="0.45">
      <c r="A26" s="133" t="s">
        <v>426</v>
      </c>
      <c r="B26" s="133"/>
      <c r="C26" s="134"/>
      <c r="D26" s="134"/>
      <c r="E26" s="134"/>
      <c r="F26" s="134"/>
      <c r="G26" s="134"/>
      <c r="H26" s="134"/>
      <c r="I26" s="134">
        <f>'TECHNICAL SERVICES'!I85</f>
        <v>-29630000</v>
      </c>
      <c r="J26" s="134">
        <f>SUM(C26:I26)</f>
        <v>-29630000</v>
      </c>
    </row>
    <row r="27" spans="1:16" ht="19" thickBot="1" x14ac:dyDescent="0.5">
      <c r="A27" s="139"/>
      <c r="B27" s="139"/>
      <c r="C27" s="140"/>
      <c r="D27" s="140"/>
      <c r="E27" s="140"/>
      <c r="F27" s="140"/>
      <c r="G27" s="140"/>
      <c r="H27" s="140"/>
      <c r="I27" s="140"/>
      <c r="J27" s="140"/>
    </row>
    <row r="28" spans="1:16" s="45" customFormat="1" ht="19.5" thickTop="1" thickBot="1" x14ac:dyDescent="0.5">
      <c r="A28" s="145" t="s">
        <v>425</v>
      </c>
      <c r="B28" s="145"/>
      <c r="C28" s="146">
        <f>C24+C26</f>
        <v>-138057166.11078212</v>
      </c>
      <c r="D28" s="146">
        <f t="shared" ref="D28:H28" si="5">D24+D26</f>
        <v>37580828.524740696</v>
      </c>
      <c r="E28" s="146">
        <f t="shared" si="5"/>
        <v>42785876.486666471</v>
      </c>
      <c r="F28" s="146">
        <f>F24+F26</f>
        <v>-13554202.606798958</v>
      </c>
      <c r="G28" s="146">
        <f t="shared" si="5"/>
        <v>19471279.85150126</v>
      </c>
      <c r="H28" s="146">
        <f t="shared" si="5"/>
        <v>18398756.921885718</v>
      </c>
      <c r="I28" s="146">
        <f>I24+I26</f>
        <v>3685630.6870812476</v>
      </c>
      <c r="J28" s="146">
        <f>J24+J26</f>
        <v>-29688996.245705694</v>
      </c>
      <c r="K28" s="46"/>
      <c r="L28" s="46"/>
      <c r="P28" s="18"/>
    </row>
    <row r="29" spans="1:16" ht="15" thickTop="1" x14ac:dyDescent="0.35"/>
    <row r="30" spans="1:16" x14ac:dyDescent="0.35">
      <c r="J30" s="44">
        <v>58996.245705723763</v>
      </c>
    </row>
    <row r="31" spans="1:16" x14ac:dyDescent="0.35">
      <c r="A31" s="44"/>
      <c r="C31" s="47"/>
      <c r="D31" s="47"/>
      <c r="E31" s="47"/>
      <c r="F31" s="47"/>
      <c r="G31" s="47"/>
      <c r="H31" s="47"/>
      <c r="I31" s="47">
        <v>58996.245705723763</v>
      </c>
    </row>
    <row r="32" spans="1:16" s="121" customFormat="1" x14ac:dyDescent="0.35">
      <c r="C32" s="120"/>
      <c r="D32" s="120"/>
      <c r="E32" s="120"/>
      <c r="F32" s="120"/>
      <c r="G32" s="120"/>
      <c r="H32" s="120"/>
      <c r="I32" s="120"/>
      <c r="J32" s="120">
        <f>J24+J30</f>
        <v>2.9802322387695313E-8</v>
      </c>
      <c r="K32" s="120"/>
      <c r="L32" s="120"/>
    </row>
    <row r="34" spans="3:16" x14ac:dyDescent="0.35">
      <c r="J34" s="155"/>
    </row>
    <row r="35" spans="3:16" s="123" customFormat="1" x14ac:dyDescent="0.35"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P35" s="124"/>
    </row>
  </sheetData>
  <mergeCells count="1">
    <mergeCell ref="A1:J1"/>
  </mergeCells>
  <printOptions gridLines="1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33"/>
  <sheetViews>
    <sheetView view="pageBreakPreview" zoomScale="80" zoomScaleNormal="80" zoomScaleSheetLayoutView="80" workbookViewId="0">
      <pane xSplit="1" ySplit="2" topLeftCell="B3" activePane="bottomRight" state="frozen"/>
      <selection activeCell="B183" sqref="B183"/>
      <selection pane="topRight" activeCell="B183" sqref="B183"/>
      <selection pane="bottomLeft" activeCell="B183" sqref="B183"/>
      <selection pane="bottomRight" activeCell="B183" sqref="B183"/>
    </sheetView>
  </sheetViews>
  <sheetFormatPr defaultColWidth="9.1796875" defaultRowHeight="14.5" x14ac:dyDescent="0.35"/>
  <cols>
    <col min="1" max="1" width="39.81640625" style="36" bestFit="1" customWidth="1"/>
    <col min="2" max="2" width="16.26953125" style="36" bestFit="1" customWidth="1"/>
    <col min="3" max="3" width="23.1796875" style="36" bestFit="1" customWidth="1"/>
    <col min="4" max="4" width="22.81640625" style="36" bestFit="1" customWidth="1"/>
    <col min="5" max="5" width="23.7265625" style="36" bestFit="1" customWidth="1"/>
    <col min="6" max="6" width="15.1796875" style="36" bestFit="1" customWidth="1"/>
    <col min="7" max="7" width="21.26953125" style="36" bestFit="1" customWidth="1"/>
    <col min="8" max="8" width="21.7265625" style="36" customWidth="1"/>
    <col min="9" max="9" width="16.26953125" style="36" bestFit="1" customWidth="1"/>
    <col min="10" max="10" width="13.81640625" style="36" bestFit="1" customWidth="1"/>
    <col min="11" max="11" width="15.1796875" style="36" bestFit="1" customWidth="1"/>
    <col min="12" max="15" width="9.1796875" style="36"/>
    <col min="16" max="16" width="9.1796875" style="19"/>
    <col min="17" max="16384" width="9.1796875" style="36"/>
  </cols>
  <sheetData>
    <row r="1" spans="1:16" ht="15" thickBot="1" x14ac:dyDescent="0.4">
      <c r="A1" s="255" t="s">
        <v>1332</v>
      </c>
      <c r="B1" s="256"/>
      <c r="C1" s="256"/>
      <c r="D1" s="256"/>
      <c r="E1" s="256"/>
      <c r="F1" s="256"/>
      <c r="G1" s="256"/>
      <c r="H1" s="256"/>
      <c r="I1" s="257"/>
    </row>
    <row r="2" spans="1:16" ht="15" thickBot="1" x14ac:dyDescent="0.4">
      <c r="A2" s="37" t="s">
        <v>407</v>
      </c>
      <c r="B2" s="38" t="s">
        <v>400</v>
      </c>
      <c r="C2" s="38" t="s">
        <v>401</v>
      </c>
      <c r="D2" s="38" t="s">
        <v>402</v>
      </c>
      <c r="E2" s="38" t="s">
        <v>403</v>
      </c>
      <c r="F2" s="38" t="s">
        <v>404</v>
      </c>
      <c r="G2" s="38" t="s">
        <v>405</v>
      </c>
      <c r="H2" s="38" t="s">
        <v>406</v>
      </c>
      <c r="I2" s="38" t="s">
        <v>80</v>
      </c>
    </row>
    <row r="3" spans="1:16" x14ac:dyDescent="0.35">
      <c r="A3" s="39"/>
      <c r="B3" s="40"/>
      <c r="C3" s="40"/>
      <c r="D3" s="40"/>
      <c r="E3" s="40"/>
      <c r="F3" s="40"/>
      <c r="G3" s="40"/>
      <c r="H3" s="40"/>
      <c r="I3" s="40"/>
      <c r="P3" s="35"/>
    </row>
    <row r="4" spans="1:16" x14ac:dyDescent="0.35">
      <c r="A4" s="20" t="s">
        <v>427</v>
      </c>
      <c r="B4" s="21"/>
      <c r="C4" s="21"/>
      <c r="D4" s="21"/>
      <c r="E4" s="21"/>
      <c r="F4" s="21"/>
      <c r="G4" s="21"/>
      <c r="H4" s="21"/>
      <c r="I4" s="21"/>
    </row>
    <row r="5" spans="1:16" x14ac:dyDescent="0.35">
      <c r="A5" s="22" t="s">
        <v>409</v>
      </c>
      <c r="B5" s="23">
        <f>FINANCE!J47</f>
        <v>-19862426.177360002</v>
      </c>
      <c r="C5" s="23"/>
      <c r="D5" s="23"/>
      <c r="E5" s="23"/>
      <c r="F5" s="23"/>
      <c r="G5" s="23"/>
      <c r="H5" s="23"/>
      <c r="I5" s="23">
        <f>SUM(B5:H5)</f>
        <v>-19862426.177360002</v>
      </c>
    </row>
    <row r="6" spans="1:16" x14ac:dyDescent="0.35">
      <c r="A6" s="22" t="s">
        <v>724</v>
      </c>
      <c r="B6" s="23"/>
      <c r="C6" s="23"/>
      <c r="D6" s="23"/>
      <c r="E6" s="23">
        <f>'COMMUNITY SERVICES'!J136</f>
        <v>-104600</v>
      </c>
      <c r="F6" s="23"/>
      <c r="G6" s="23"/>
      <c r="H6" s="23"/>
      <c r="I6" s="23">
        <f>SUM(B6:H6)</f>
        <v>-104600</v>
      </c>
    </row>
    <row r="7" spans="1:16" x14ac:dyDescent="0.35">
      <c r="A7" s="22" t="s">
        <v>408</v>
      </c>
      <c r="B7" s="23">
        <f>FINANCE!J25</f>
        <v>-632830</v>
      </c>
      <c r="C7" s="23"/>
      <c r="D7" s="23"/>
      <c r="E7" s="23"/>
      <c r="F7" s="23"/>
      <c r="G7" s="23"/>
      <c r="H7" s="23"/>
      <c r="I7" s="23">
        <f t="shared" ref="I7:I14" si="0">SUM(B7:H7)</f>
        <v>-632830</v>
      </c>
    </row>
    <row r="8" spans="1:16" x14ac:dyDescent="0.35">
      <c r="A8" s="22" t="s">
        <v>410</v>
      </c>
      <c r="B8" s="23">
        <f>FINANCE!J8</f>
        <v>-11506000</v>
      </c>
      <c r="C8" s="23"/>
      <c r="D8" s="23"/>
      <c r="E8" s="23"/>
      <c r="F8" s="23"/>
      <c r="G8" s="23"/>
      <c r="H8" s="23"/>
      <c r="I8" s="23">
        <f t="shared" si="0"/>
        <v>-11506000</v>
      </c>
    </row>
    <row r="9" spans="1:16" x14ac:dyDescent="0.35">
      <c r="A9" s="22" t="s">
        <v>411</v>
      </c>
      <c r="B9" s="23">
        <f>FINANCE!J9</f>
        <v>-836800</v>
      </c>
      <c r="C9" s="23"/>
      <c r="D9" s="23"/>
      <c r="E9" s="23"/>
      <c r="F9" s="23"/>
      <c r="G9" s="23"/>
      <c r="H9" s="23"/>
      <c r="I9" s="23">
        <f t="shared" si="0"/>
        <v>-836800</v>
      </c>
    </row>
    <row r="10" spans="1:16" x14ac:dyDescent="0.35">
      <c r="A10" s="22" t="s">
        <v>412</v>
      </c>
      <c r="B10" s="23"/>
      <c r="C10" s="23"/>
      <c r="D10" s="23"/>
      <c r="E10" s="23"/>
      <c r="F10" s="23"/>
      <c r="G10" s="23"/>
      <c r="H10" s="23"/>
      <c r="I10" s="23">
        <f t="shared" si="0"/>
        <v>0</v>
      </c>
    </row>
    <row r="11" spans="1:16" x14ac:dyDescent="0.35">
      <c r="A11" s="22" t="s">
        <v>413</v>
      </c>
      <c r="B11" s="23">
        <f>FINANCE!J14</f>
        <v>-1046</v>
      </c>
      <c r="C11" s="23"/>
      <c r="D11" s="23"/>
      <c r="E11" s="23"/>
      <c r="F11" s="23"/>
      <c r="G11" s="23"/>
      <c r="H11" s="23"/>
      <c r="I11" s="23">
        <f t="shared" si="0"/>
        <v>-1046</v>
      </c>
    </row>
    <row r="12" spans="1:16" x14ac:dyDescent="0.35">
      <c r="A12" s="22" t="s">
        <v>414</v>
      </c>
      <c r="B12" s="23">
        <f>FINANCE!J52</f>
        <v>-172950000</v>
      </c>
      <c r="C12" s="23">
        <f>'MUNICIPAL MANAGER'!J10+'MUNICIPAL MANAGER'!J304</f>
        <v>-500000</v>
      </c>
      <c r="D12" s="23"/>
      <c r="E12" s="23">
        <f>'COMMUNITY SERVICES'!J13</f>
        <v>-1910000</v>
      </c>
      <c r="F12" s="23"/>
      <c r="G12" s="23"/>
      <c r="H12" s="23"/>
      <c r="I12" s="23">
        <f t="shared" si="0"/>
        <v>-175360000</v>
      </c>
    </row>
    <row r="13" spans="1:16" x14ac:dyDescent="0.35">
      <c r="A13" s="22" t="s">
        <v>415</v>
      </c>
      <c r="B13" s="23">
        <f>FINANCE!J20+FINANCE!J33</f>
        <v>-583668</v>
      </c>
      <c r="C13" s="23"/>
      <c r="D13" s="23"/>
      <c r="E13" s="23"/>
      <c r="F13" s="23"/>
      <c r="G13" s="23"/>
      <c r="H13" s="23"/>
      <c r="I13" s="23">
        <f t="shared" si="0"/>
        <v>-583668</v>
      </c>
    </row>
    <row r="14" spans="1:16" ht="15" thickBot="1" x14ac:dyDescent="0.4">
      <c r="A14" s="24" t="s">
        <v>416</v>
      </c>
      <c r="B14" s="25"/>
      <c r="C14" s="25"/>
      <c r="D14" s="25"/>
      <c r="E14" s="25"/>
      <c r="F14" s="25"/>
      <c r="G14" s="25"/>
      <c r="H14" s="25"/>
      <c r="I14" s="23">
        <f t="shared" si="0"/>
        <v>0</v>
      </c>
    </row>
    <row r="15" spans="1:16" ht="15" thickBot="1" x14ac:dyDescent="0.4">
      <c r="A15" s="26" t="s">
        <v>81</v>
      </c>
      <c r="B15" s="27">
        <f t="shared" ref="B15:I15" si="1">SUM(B5:B14)</f>
        <v>-206372770.17736</v>
      </c>
      <c r="C15" s="27">
        <f t="shared" si="1"/>
        <v>-500000</v>
      </c>
      <c r="D15" s="27">
        <f t="shared" si="1"/>
        <v>0</v>
      </c>
      <c r="E15" s="27">
        <f t="shared" si="1"/>
        <v>-2014600</v>
      </c>
      <c r="F15" s="27">
        <f t="shared" si="1"/>
        <v>0</v>
      </c>
      <c r="G15" s="27">
        <f t="shared" si="1"/>
        <v>0</v>
      </c>
      <c r="H15" s="27">
        <f t="shared" si="1"/>
        <v>0</v>
      </c>
      <c r="I15" s="27">
        <f t="shared" si="1"/>
        <v>-208887370.17736</v>
      </c>
    </row>
    <row r="16" spans="1:16" ht="15" thickTop="1" x14ac:dyDescent="0.35">
      <c r="A16" s="30"/>
      <c r="B16" s="31"/>
      <c r="C16" s="31"/>
      <c r="D16" s="31"/>
      <c r="E16" s="31"/>
      <c r="F16" s="31"/>
      <c r="G16" s="31"/>
      <c r="H16" s="31"/>
      <c r="I16" s="31"/>
    </row>
    <row r="17" spans="1:11" x14ac:dyDescent="0.35">
      <c r="A17" s="41" t="s">
        <v>417</v>
      </c>
      <c r="B17" s="42"/>
      <c r="C17" s="42"/>
      <c r="D17" s="42"/>
      <c r="E17" s="42"/>
      <c r="F17" s="42"/>
      <c r="G17" s="42"/>
      <c r="H17" s="42"/>
      <c r="I17" s="42"/>
    </row>
    <row r="18" spans="1:11" x14ac:dyDescent="0.35">
      <c r="A18" s="22" t="s">
        <v>418</v>
      </c>
      <c r="B18" s="23">
        <f>FINANCE!J123</f>
        <v>13531727.553177143</v>
      </c>
      <c r="C18" s="23">
        <f>'MUNICIPAL MANAGER'!J358</f>
        <v>11600117.95684661</v>
      </c>
      <c r="D18" s="23">
        <f>'CORPORATE SERVICES'!J67</f>
        <v>15067661.000419674</v>
      </c>
      <c r="E18" s="23">
        <f>'COMMUNITY SERVICES'!J35+'COMMUNITY SERVICES'!J125+'COMMUNITY SERVICES'!J155+'COMMUNITY SERVICES'!J224</f>
        <v>11443848.500835679</v>
      </c>
      <c r="F18" s="23">
        <f>EDP!J81</f>
        <v>6538966.094241404</v>
      </c>
      <c r="G18" s="23"/>
      <c r="H18" s="23">
        <f>'TECHNICAL SERVICES'!J69+'TECHNICAL SERVICES'!J115</f>
        <v>11118736.32789325</v>
      </c>
      <c r="I18" s="23">
        <f t="shared" ref="I18:I25" si="2">SUM(B18:H18)</f>
        <v>69301057.433413759</v>
      </c>
      <c r="J18" s="43"/>
      <c r="K18" s="43">
        <f>I18+I19</f>
        <v>86295115.599283367</v>
      </c>
    </row>
    <row r="19" spans="1:11" x14ac:dyDescent="0.35">
      <c r="A19" s="22" t="s">
        <v>419</v>
      </c>
      <c r="B19" s="23"/>
      <c r="C19" s="23"/>
      <c r="D19" s="23"/>
      <c r="E19" s="23"/>
      <c r="F19" s="23"/>
      <c r="G19" s="23">
        <f>'EXECUTIVE COUNCIL'!J41</f>
        <v>16994058.165869605</v>
      </c>
      <c r="H19" s="23"/>
      <c r="I19" s="23">
        <f t="shared" si="2"/>
        <v>16994058.165869605</v>
      </c>
      <c r="K19" s="47">
        <f>K18/I26</f>
        <v>0.41979754576341793</v>
      </c>
    </row>
    <row r="20" spans="1:11" x14ac:dyDescent="0.35">
      <c r="A20" s="22" t="s">
        <v>420</v>
      </c>
      <c r="B20" s="23">
        <f>FINANCE!J68</f>
        <v>22876250.464263961</v>
      </c>
      <c r="C20" s="23"/>
      <c r="D20" s="23"/>
      <c r="E20" s="23"/>
      <c r="F20" s="23"/>
      <c r="G20" s="23"/>
      <c r="H20" s="23"/>
      <c r="I20" s="23">
        <f t="shared" si="2"/>
        <v>22876250.464263961</v>
      </c>
    </row>
    <row r="21" spans="1:11" x14ac:dyDescent="0.35">
      <c r="A21" s="22" t="s">
        <v>421</v>
      </c>
      <c r="B21" s="23"/>
      <c r="C21" s="23"/>
      <c r="D21" s="23"/>
      <c r="E21" s="23"/>
      <c r="F21" s="23"/>
      <c r="G21" s="23"/>
      <c r="H21" s="23"/>
      <c r="I21" s="23">
        <f t="shared" si="2"/>
        <v>0</v>
      </c>
    </row>
    <row r="22" spans="1:11" x14ac:dyDescent="0.35">
      <c r="A22" s="22" t="s">
        <v>422</v>
      </c>
      <c r="B22" s="23"/>
      <c r="C22" s="23"/>
      <c r="D22" s="23"/>
      <c r="E22" s="23"/>
      <c r="F22" s="23"/>
      <c r="G22" s="23"/>
      <c r="H22" s="23"/>
      <c r="I22" s="23">
        <f t="shared" si="2"/>
        <v>0</v>
      </c>
    </row>
    <row r="23" spans="1:11" x14ac:dyDescent="0.35">
      <c r="A23" s="22" t="s">
        <v>423</v>
      </c>
      <c r="B23" s="23">
        <f>FINANCE!J138+FINANCE!J101</f>
        <v>13924943.546550451</v>
      </c>
      <c r="C23" s="23">
        <f>'MUNICIPAL MANAGER'!J339+'MUNICIPAL MANAGER'!J282+'MUNICIPAL MANAGER'!J242+'MUNICIPAL MANAGER'!J158+'MUNICIPAL MANAGER'!J26</f>
        <v>21284702.17711585</v>
      </c>
      <c r="D23" s="23">
        <f>'CORPORATE SERVICES'!J48+'CORPORATE SERVICES'!J91+'CORPORATE SERVICES'!J151+'CORPORATE SERVICES'!J175</f>
        <v>27118371.127470344</v>
      </c>
      <c r="E23" s="23">
        <f>'COMMUNITY SERVICES'!J204+'COMMUNITY SERVICES'!J172+'COMMUNITY SERVICES'!J142+'COMMUNITY SERVICES'!J113+'COMMUNITY SERVICES'!J22</f>
        <v>7722403.5653126249</v>
      </c>
      <c r="F23" s="23">
        <f>EDP!J62+EDP!J99</f>
        <v>9809833.1176979039</v>
      </c>
      <c r="G23" s="23">
        <f>'EXECUTIVE COUNCIL'!J18</f>
        <v>3378580</v>
      </c>
      <c r="H23" s="23">
        <f>'TECHNICAL SERVICES'!J46+'TECHNICAL SERVICES'!J103</f>
        <v>11793650</v>
      </c>
      <c r="I23" s="23">
        <f t="shared" si="2"/>
        <v>95032483.534147188</v>
      </c>
    </row>
    <row r="24" spans="1:11" x14ac:dyDescent="0.35">
      <c r="A24" s="24" t="s">
        <v>83</v>
      </c>
      <c r="B24" s="25">
        <f>FINANCE!J127</f>
        <v>679900</v>
      </c>
      <c r="C24" s="25"/>
      <c r="D24" s="25">
        <f>'CORPORATE SERVICES'!J71</f>
        <v>679900</v>
      </c>
      <c r="E24" s="25"/>
      <c r="F24" s="25"/>
      <c r="G24" s="25"/>
      <c r="H24" s="25"/>
      <c r="I24" s="23">
        <f t="shared" si="2"/>
        <v>1359800</v>
      </c>
    </row>
    <row r="25" spans="1:11" ht="15" thickBot="1" x14ac:dyDescent="0.4">
      <c r="A25" s="24" t="s">
        <v>424</v>
      </c>
      <c r="B25" s="25"/>
      <c r="C25" s="25"/>
      <c r="D25" s="25"/>
      <c r="E25" s="25"/>
      <c r="F25" s="25"/>
      <c r="G25" s="25"/>
      <c r="H25" s="25"/>
      <c r="I25" s="23">
        <f t="shared" si="2"/>
        <v>0</v>
      </c>
    </row>
    <row r="26" spans="1:11" ht="15" thickBot="1" x14ac:dyDescent="0.4">
      <c r="A26" s="26" t="s">
        <v>82</v>
      </c>
      <c r="B26" s="27">
        <f t="shared" ref="B26:I26" si="3">SUM(B18:B25)</f>
        <v>51012821.563991554</v>
      </c>
      <c r="C26" s="27">
        <f t="shared" si="3"/>
        <v>32884820.13396246</v>
      </c>
      <c r="D26" s="27">
        <f t="shared" si="3"/>
        <v>42865932.127890021</v>
      </c>
      <c r="E26" s="27">
        <f>SUM(E18:E25)</f>
        <v>19166252.066148303</v>
      </c>
      <c r="F26" s="27">
        <f t="shared" si="3"/>
        <v>16348799.211939309</v>
      </c>
      <c r="G26" s="27">
        <f t="shared" si="3"/>
        <v>20372638.165869605</v>
      </c>
      <c r="H26" s="27">
        <f t="shared" si="3"/>
        <v>22912386.32789325</v>
      </c>
      <c r="I26" s="27">
        <f t="shared" si="3"/>
        <v>205563649.59769452</v>
      </c>
    </row>
    <row r="27" spans="1:11" ht="15.5" thickTop="1" thickBot="1" x14ac:dyDescent="0.4">
      <c r="A27" s="30"/>
      <c r="B27" s="31"/>
      <c r="C27" s="31"/>
      <c r="D27" s="31"/>
      <c r="E27" s="31"/>
      <c r="F27" s="31"/>
      <c r="G27" s="31"/>
      <c r="H27" s="31"/>
      <c r="I27" s="31"/>
    </row>
    <row r="28" spans="1:11" ht="15" thickBot="1" x14ac:dyDescent="0.4">
      <c r="A28" s="26" t="s">
        <v>672</v>
      </c>
      <c r="B28" s="27">
        <f t="shared" ref="B28:I28" si="4">B26+B15</f>
        <v>-155359948.61336845</v>
      </c>
      <c r="C28" s="27">
        <f t="shared" si="4"/>
        <v>32384820.13396246</v>
      </c>
      <c r="D28" s="27">
        <f t="shared" si="4"/>
        <v>42865932.127890021</v>
      </c>
      <c r="E28" s="27">
        <f t="shared" si="4"/>
        <v>17151652.066148303</v>
      </c>
      <c r="F28" s="27">
        <f t="shared" si="4"/>
        <v>16348799.211939309</v>
      </c>
      <c r="G28" s="27">
        <f t="shared" si="4"/>
        <v>20372638.165869605</v>
      </c>
      <c r="H28" s="27">
        <f t="shared" si="4"/>
        <v>22912386.32789325</v>
      </c>
      <c r="I28" s="27">
        <f t="shared" si="4"/>
        <v>-3323720.579665482</v>
      </c>
    </row>
    <row r="29" spans="1:11" ht="15" thickTop="1" x14ac:dyDescent="0.35">
      <c r="A29" s="28"/>
      <c r="B29" s="29"/>
      <c r="C29" s="29"/>
      <c r="D29" s="29"/>
      <c r="E29" s="29"/>
      <c r="F29" s="29"/>
      <c r="G29" s="29"/>
      <c r="H29" s="29"/>
      <c r="I29" s="29"/>
    </row>
    <row r="30" spans="1:11" x14ac:dyDescent="0.35">
      <c r="A30" s="22" t="s">
        <v>426</v>
      </c>
      <c r="B30" s="23"/>
      <c r="C30" s="23"/>
      <c r="D30" s="23"/>
      <c r="E30" s="23"/>
      <c r="F30" s="23"/>
      <c r="G30" s="23"/>
      <c r="H30" s="23">
        <f>'TECHNICAL SERVICES'!J85</f>
        <v>-31938000</v>
      </c>
      <c r="I30" s="23">
        <f>SUM(B30:H30)</f>
        <v>-31938000</v>
      </c>
    </row>
    <row r="31" spans="1:11" ht="15" thickBot="1" x14ac:dyDescent="0.4">
      <c r="A31" s="24"/>
      <c r="B31" s="25"/>
      <c r="C31" s="25"/>
      <c r="D31" s="25"/>
      <c r="E31" s="25"/>
      <c r="F31" s="25"/>
      <c r="G31" s="25"/>
      <c r="H31" s="25"/>
      <c r="I31" s="25"/>
      <c r="J31" s="43"/>
    </row>
    <row r="32" spans="1:11" ht="15.5" thickTop="1" thickBot="1" x14ac:dyDescent="0.4">
      <c r="A32" s="32" t="s">
        <v>425</v>
      </c>
      <c r="B32" s="33">
        <f>B28+B30</f>
        <v>-155359948.61336845</v>
      </c>
      <c r="C32" s="33">
        <f t="shared" ref="C32:I32" si="5">C28+C30</f>
        <v>32384820.13396246</v>
      </c>
      <c r="D32" s="33">
        <f t="shared" si="5"/>
        <v>42865932.127890021</v>
      </c>
      <c r="E32" s="33">
        <f t="shared" si="5"/>
        <v>17151652.066148303</v>
      </c>
      <c r="F32" s="33">
        <f t="shared" si="5"/>
        <v>16348799.211939309</v>
      </c>
      <c r="G32" s="33">
        <f t="shared" si="5"/>
        <v>20372638.165869605</v>
      </c>
      <c r="H32" s="33">
        <f t="shared" si="5"/>
        <v>-9025613.6721067503</v>
      </c>
      <c r="I32" s="33">
        <f t="shared" si="5"/>
        <v>-35261720.579665482</v>
      </c>
    </row>
    <row r="33" spans="2:9" ht="15" thickTop="1" x14ac:dyDescent="0.35">
      <c r="B33" s="44"/>
      <c r="C33" s="44"/>
      <c r="D33" s="44"/>
      <c r="E33" s="44"/>
      <c r="F33" s="44"/>
      <c r="G33" s="44"/>
      <c r="H33" s="44"/>
      <c r="I33" s="44"/>
    </row>
  </sheetData>
  <mergeCells count="1">
    <mergeCell ref="A1:I1"/>
  </mergeCells>
  <printOptions gridLines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41"/>
  <sheetViews>
    <sheetView view="pageBreakPreview" zoomScale="80" zoomScaleNormal="80" zoomScaleSheetLayoutView="80" workbookViewId="0">
      <pane xSplit="1" ySplit="2" topLeftCell="B3" activePane="bottomRight" state="frozen"/>
      <selection activeCell="B183" sqref="B183"/>
      <selection pane="topRight" activeCell="B183" sqref="B183"/>
      <selection pane="bottomLeft" activeCell="B183" sqref="B183"/>
      <selection pane="bottomRight" activeCell="B183" sqref="B183"/>
    </sheetView>
  </sheetViews>
  <sheetFormatPr defaultColWidth="9.1796875" defaultRowHeight="14.5" x14ac:dyDescent="0.35"/>
  <cols>
    <col min="1" max="1" width="39.81640625" style="36" bestFit="1" customWidth="1"/>
    <col min="2" max="2" width="16.26953125" style="36" bestFit="1" customWidth="1"/>
    <col min="3" max="3" width="23.1796875" style="36" bestFit="1" customWidth="1"/>
    <col min="4" max="4" width="22.81640625" style="36" bestFit="1" customWidth="1"/>
    <col min="5" max="5" width="23.7265625" style="36" bestFit="1" customWidth="1"/>
    <col min="6" max="6" width="15.1796875" style="36" bestFit="1" customWidth="1"/>
    <col min="7" max="7" width="21.26953125" style="36" bestFit="1" customWidth="1"/>
    <col min="8" max="8" width="21.7265625" style="36" bestFit="1" customWidth="1"/>
    <col min="9" max="9" width="16.26953125" style="36" bestFit="1" customWidth="1"/>
    <col min="10" max="10" width="9.1796875" style="36"/>
    <col min="11" max="11" width="15.1796875" style="44" bestFit="1" customWidth="1"/>
    <col min="12" max="15" width="9.1796875" style="36"/>
    <col min="16" max="16" width="9.1796875" style="19"/>
    <col min="17" max="16384" width="9.1796875" style="36"/>
  </cols>
  <sheetData>
    <row r="1" spans="1:16" ht="15" thickBot="1" x14ac:dyDescent="0.4">
      <c r="A1" s="255" t="s">
        <v>1333</v>
      </c>
      <c r="B1" s="256"/>
      <c r="C1" s="256"/>
      <c r="D1" s="256"/>
      <c r="E1" s="256"/>
      <c r="F1" s="256"/>
      <c r="G1" s="256"/>
      <c r="H1" s="256"/>
      <c r="I1" s="257"/>
    </row>
    <row r="2" spans="1:16" ht="15" thickBot="1" x14ac:dyDescent="0.4">
      <c r="A2" s="37" t="s">
        <v>407</v>
      </c>
      <c r="B2" s="38" t="s">
        <v>400</v>
      </c>
      <c r="C2" s="38" t="s">
        <v>401</v>
      </c>
      <c r="D2" s="38" t="s">
        <v>402</v>
      </c>
      <c r="E2" s="38" t="s">
        <v>403</v>
      </c>
      <c r="F2" s="38" t="s">
        <v>404</v>
      </c>
      <c r="G2" s="38" t="s">
        <v>405</v>
      </c>
      <c r="H2" s="38" t="s">
        <v>406</v>
      </c>
      <c r="I2" s="38" t="s">
        <v>80</v>
      </c>
    </row>
    <row r="3" spans="1:16" x14ac:dyDescent="0.35">
      <c r="A3" s="39"/>
      <c r="B3" s="40"/>
      <c r="C3" s="40"/>
      <c r="D3" s="40"/>
      <c r="E3" s="40"/>
      <c r="F3" s="40"/>
      <c r="G3" s="40"/>
      <c r="H3" s="40"/>
      <c r="I3" s="40"/>
      <c r="P3" s="35"/>
    </row>
    <row r="4" spans="1:16" x14ac:dyDescent="0.35">
      <c r="A4" s="20" t="s">
        <v>427</v>
      </c>
      <c r="B4" s="21"/>
      <c r="C4" s="21"/>
      <c r="D4" s="21"/>
      <c r="E4" s="21"/>
      <c r="F4" s="21"/>
      <c r="G4" s="21"/>
      <c r="H4" s="21"/>
      <c r="I4" s="21"/>
    </row>
    <row r="5" spans="1:16" x14ac:dyDescent="0.35">
      <c r="A5" s="22" t="s">
        <v>409</v>
      </c>
      <c r="B5" s="23">
        <f>FINANCE!K47</f>
        <v>-20776097.781518564</v>
      </c>
      <c r="C5" s="23"/>
      <c r="D5" s="23"/>
      <c r="E5" s="23"/>
      <c r="F5" s="23"/>
      <c r="G5" s="23"/>
      <c r="H5" s="23"/>
      <c r="I5" s="23">
        <f>SUM(B5:H5)</f>
        <v>-20776097.781518564</v>
      </c>
    </row>
    <row r="6" spans="1:16" x14ac:dyDescent="0.35">
      <c r="A6" s="22" t="s">
        <v>721</v>
      </c>
      <c r="B6" s="23"/>
      <c r="C6" s="23"/>
      <c r="D6" s="23"/>
      <c r="E6" s="23">
        <f>'COMMUNITY SERVICES'!K136</f>
        <v>-109411.6</v>
      </c>
      <c r="F6" s="23"/>
      <c r="G6" s="23"/>
      <c r="H6" s="23"/>
      <c r="I6" s="23">
        <f>SUM(B6:H6)</f>
        <v>-109411.6</v>
      </c>
    </row>
    <row r="7" spans="1:16" x14ac:dyDescent="0.35">
      <c r="A7" s="22" t="s">
        <v>408</v>
      </c>
      <c r="B7" s="23">
        <f>FINANCE!K25</f>
        <v>-661940.17999999993</v>
      </c>
      <c r="C7" s="23"/>
      <c r="D7" s="23"/>
      <c r="E7" s="23"/>
      <c r="F7" s="23"/>
      <c r="G7" s="23"/>
      <c r="H7" s="23"/>
      <c r="I7" s="23">
        <f t="shared" ref="I7:I12" si="0">SUM(B7:H7)</f>
        <v>-661940.17999999993</v>
      </c>
    </row>
    <row r="8" spans="1:16" x14ac:dyDescent="0.35">
      <c r="A8" s="22" t="s">
        <v>410</v>
      </c>
      <c r="B8" s="23">
        <f>FINANCE!K8</f>
        <v>-12035276</v>
      </c>
      <c r="C8" s="23"/>
      <c r="D8" s="23"/>
      <c r="E8" s="23"/>
      <c r="F8" s="23"/>
      <c r="G8" s="23"/>
      <c r="H8" s="23"/>
      <c r="I8" s="23">
        <f t="shared" si="0"/>
        <v>-12035276</v>
      </c>
    </row>
    <row r="9" spans="1:16" x14ac:dyDescent="0.35">
      <c r="A9" s="22" t="s">
        <v>411</v>
      </c>
      <c r="B9" s="23">
        <f>FINANCE!K9</f>
        <v>-875292.8</v>
      </c>
      <c r="C9" s="23"/>
      <c r="D9" s="23"/>
      <c r="E9" s="23"/>
      <c r="F9" s="23"/>
      <c r="G9" s="23"/>
      <c r="H9" s="23"/>
      <c r="I9" s="23">
        <f t="shared" si="0"/>
        <v>-875292.8</v>
      </c>
    </row>
    <row r="10" spans="1:16" x14ac:dyDescent="0.35">
      <c r="A10" s="22" t="s">
        <v>413</v>
      </c>
      <c r="B10" s="23">
        <f>FINANCE!K14</f>
        <v>-1094.116</v>
      </c>
      <c r="C10" s="23"/>
      <c r="D10" s="23"/>
      <c r="E10" s="23"/>
      <c r="F10" s="23"/>
      <c r="G10" s="23"/>
      <c r="H10" s="23"/>
      <c r="I10" s="23">
        <f t="shared" si="0"/>
        <v>-1094.116</v>
      </c>
    </row>
    <row r="11" spans="1:16" x14ac:dyDescent="0.35">
      <c r="A11" s="22" t="s">
        <v>414</v>
      </c>
      <c r="B11" s="23">
        <f>FINANCE!K52</f>
        <v>-182968000</v>
      </c>
      <c r="C11" s="23"/>
      <c r="D11" s="23"/>
      <c r="E11" s="23">
        <f>'COMMUNITY SERVICES'!K13</f>
        <v>-2004000</v>
      </c>
      <c r="F11" s="23"/>
      <c r="G11" s="23"/>
      <c r="H11" s="23"/>
      <c r="I11" s="23">
        <f t="shared" si="0"/>
        <v>-184972000</v>
      </c>
    </row>
    <row r="12" spans="1:16" ht="15" thickBot="1" x14ac:dyDescent="0.4">
      <c r="A12" s="22" t="s">
        <v>415</v>
      </c>
      <c r="B12" s="23">
        <f>FINANCE!K20+FINANCE!K33</f>
        <v>-610516.728</v>
      </c>
      <c r="C12" s="23"/>
      <c r="D12" s="23"/>
      <c r="E12" s="23"/>
      <c r="F12" s="23"/>
      <c r="G12" s="23"/>
      <c r="H12" s="23"/>
      <c r="I12" s="23">
        <f t="shared" si="0"/>
        <v>-610516.728</v>
      </c>
    </row>
    <row r="13" spans="1:16" ht="15" thickBot="1" x14ac:dyDescent="0.4">
      <c r="A13" s="26" t="s">
        <v>81</v>
      </c>
      <c r="B13" s="27">
        <f t="shared" ref="B13:I13" si="1">SUM(B5:B12)</f>
        <v>-217928217.60551855</v>
      </c>
      <c r="C13" s="27">
        <f t="shared" si="1"/>
        <v>0</v>
      </c>
      <c r="D13" s="27">
        <f t="shared" si="1"/>
        <v>0</v>
      </c>
      <c r="E13" s="27">
        <f t="shared" si="1"/>
        <v>-2113411.6</v>
      </c>
      <c r="F13" s="27">
        <f t="shared" si="1"/>
        <v>0</v>
      </c>
      <c r="G13" s="27">
        <f t="shared" si="1"/>
        <v>0</v>
      </c>
      <c r="H13" s="27">
        <f t="shared" si="1"/>
        <v>0</v>
      </c>
      <c r="I13" s="27">
        <f t="shared" si="1"/>
        <v>-220041629.20551854</v>
      </c>
    </row>
    <row r="14" spans="1:16" ht="15" thickTop="1" x14ac:dyDescent="0.35">
      <c r="A14" s="30"/>
      <c r="B14" s="31"/>
      <c r="C14" s="31"/>
      <c r="D14" s="31"/>
      <c r="E14" s="31"/>
      <c r="F14" s="31"/>
      <c r="G14" s="31"/>
      <c r="H14" s="31"/>
      <c r="I14" s="31"/>
    </row>
    <row r="15" spans="1:16" x14ac:dyDescent="0.35">
      <c r="A15" s="41" t="s">
        <v>417</v>
      </c>
      <c r="B15" s="42"/>
      <c r="C15" s="42"/>
      <c r="D15" s="42"/>
      <c r="E15" s="42"/>
      <c r="F15" s="42"/>
      <c r="G15" s="42"/>
      <c r="H15" s="42"/>
      <c r="I15" s="42"/>
    </row>
    <row r="16" spans="1:16" x14ac:dyDescent="0.35">
      <c r="A16" s="22" t="s">
        <v>418</v>
      </c>
      <c r="B16" s="23">
        <f>FINANCE!K123</f>
        <v>14154187.020623291</v>
      </c>
      <c r="C16" s="23">
        <f>'MUNICIPAL MANAGER'!K358</f>
        <v>12133723.382861551</v>
      </c>
      <c r="D16" s="23">
        <f>'CORPORATE SERVICES'!K67</f>
        <v>15760773.406438984</v>
      </c>
      <c r="E16" s="23">
        <f>'COMMUNITY SERVICES'!K35+'COMMUNITY SERVICES'!K125+'COMMUNITY SERVICES'!K155+'COMMUNITY SERVICES'!K224</f>
        <v>11974346.00906194</v>
      </c>
      <c r="F16" s="23">
        <f>EDP!K81</f>
        <v>6963998.8903670926</v>
      </c>
      <c r="G16" s="23"/>
      <c r="H16" s="23">
        <f>'TECHNICAL SERVICES'!K115+'TECHNICAL SERVICES'!K69</f>
        <v>11630198.198976338</v>
      </c>
      <c r="I16" s="23">
        <f t="shared" ref="I16:I23" si="2">SUM(B16:H16)</f>
        <v>72617226.908329189</v>
      </c>
    </row>
    <row r="17" spans="1:11" x14ac:dyDescent="0.35">
      <c r="A17" s="22" t="s">
        <v>419</v>
      </c>
      <c r="B17" s="23"/>
      <c r="C17" s="23"/>
      <c r="D17" s="23"/>
      <c r="E17" s="23"/>
      <c r="F17" s="23"/>
      <c r="G17" s="23">
        <f>'EXECUTIVE COUNCIL'!K41</f>
        <v>17775784.841499608</v>
      </c>
      <c r="H17" s="23"/>
      <c r="I17" s="23">
        <f t="shared" si="2"/>
        <v>17775784.841499608</v>
      </c>
    </row>
    <row r="18" spans="1:11" x14ac:dyDescent="0.35">
      <c r="A18" s="22" t="s">
        <v>420</v>
      </c>
      <c r="B18" s="23">
        <f>FINANCE!K68</f>
        <v>23870161.175880104</v>
      </c>
      <c r="C18" s="23"/>
      <c r="D18" s="23"/>
      <c r="E18" s="23"/>
      <c r="F18" s="23"/>
      <c r="G18" s="23"/>
      <c r="H18" s="23"/>
      <c r="I18" s="23">
        <f t="shared" si="2"/>
        <v>23870161.175880104</v>
      </c>
      <c r="K18" s="47"/>
    </row>
    <row r="19" spans="1:11" x14ac:dyDescent="0.35">
      <c r="A19" s="22" t="s">
        <v>421</v>
      </c>
      <c r="B19" s="23"/>
      <c r="C19" s="23"/>
      <c r="D19" s="23"/>
      <c r="E19" s="23"/>
      <c r="F19" s="23"/>
      <c r="G19" s="23"/>
      <c r="H19" s="23"/>
      <c r="I19" s="23">
        <f t="shared" si="2"/>
        <v>0</v>
      </c>
    </row>
    <row r="20" spans="1:11" x14ac:dyDescent="0.35">
      <c r="A20" s="22" t="s">
        <v>422</v>
      </c>
      <c r="B20" s="23"/>
      <c r="C20" s="23"/>
      <c r="D20" s="23"/>
      <c r="E20" s="23"/>
      <c r="F20" s="23"/>
      <c r="G20" s="23"/>
      <c r="H20" s="23"/>
      <c r="I20" s="23">
        <f t="shared" si="2"/>
        <v>0</v>
      </c>
    </row>
    <row r="21" spans="1:11" x14ac:dyDescent="0.35">
      <c r="A21" s="22" t="s">
        <v>83</v>
      </c>
      <c r="B21" s="23">
        <f>FINANCE!K127</f>
        <v>711175.4</v>
      </c>
      <c r="C21" s="23"/>
      <c r="D21" s="23">
        <f>'CORPORATE SERVICES'!K71</f>
        <v>711175.4</v>
      </c>
      <c r="E21" s="23"/>
      <c r="F21" s="23"/>
      <c r="G21" s="23"/>
      <c r="H21" s="23"/>
      <c r="I21" s="23">
        <f t="shared" si="2"/>
        <v>1422350.8</v>
      </c>
    </row>
    <row r="22" spans="1:11" x14ac:dyDescent="0.35">
      <c r="A22" s="22" t="s">
        <v>423</v>
      </c>
      <c r="B22" s="23">
        <f>FINANCE!K101+FINANCE!K138</f>
        <v>14565490.949691772</v>
      </c>
      <c r="C22" s="23">
        <f>'MUNICIPAL MANAGER'!K26+'MUNICIPAL MANAGER'!K158+'MUNICIPAL MANAGER'!K242+'MUNICIPAL MANAGER'!K282+'MUNICIPAL MANAGER'!K339</f>
        <v>21740798.477263179</v>
      </c>
      <c r="D22" s="23">
        <f>'CORPORATE SERVICES'!K48+'CORPORATE SERVICES'!K91+'CORPORATE SERVICES'!K151+'CORPORATE SERVICES'!K175</f>
        <v>28365816.199333981</v>
      </c>
      <c r="E22" s="23">
        <f>'COMMUNITY SERVICES'!K22+'COMMUNITY SERVICES'!K113+'COMMUNITY SERVICES'!K142+'COMMUNITY SERVICES'!K204+'COMMUNITY SERVICES'!K172</f>
        <v>8077778.3701445255</v>
      </c>
      <c r="F22" s="23">
        <f>EDP!K62+EDP!K99</f>
        <v>10324938.741112007</v>
      </c>
      <c r="G22" s="23">
        <f>'EXECUTIVE COUNCIL'!K18</f>
        <v>3533994.6800000006</v>
      </c>
      <c r="H22" s="23">
        <f>'TECHNICAL SERVICES'!K46+'TECHNICAL SERVICES'!K103</f>
        <v>12336157.900000002</v>
      </c>
      <c r="I22" s="23">
        <f t="shared" si="2"/>
        <v>98944975.317545488</v>
      </c>
    </row>
    <row r="23" spans="1:11" ht="15" thickBot="1" x14ac:dyDescent="0.4">
      <c r="A23" s="24" t="s">
        <v>424</v>
      </c>
      <c r="B23" s="25"/>
      <c r="C23" s="25"/>
      <c r="D23" s="25"/>
      <c r="E23" s="25"/>
      <c r="F23" s="25"/>
      <c r="G23" s="25"/>
      <c r="H23" s="25"/>
      <c r="I23" s="23">
        <f t="shared" si="2"/>
        <v>0</v>
      </c>
    </row>
    <row r="24" spans="1:11" ht="15" thickBot="1" x14ac:dyDescent="0.4">
      <c r="A24" s="26" t="s">
        <v>82</v>
      </c>
      <c r="B24" s="27">
        <f t="shared" ref="B24:I24" si="3">SUM(B16:B23)</f>
        <v>53301014.546195164</v>
      </c>
      <c r="C24" s="27">
        <f t="shared" si="3"/>
        <v>33874521.86012473</v>
      </c>
      <c r="D24" s="27">
        <f t="shared" si="3"/>
        <v>44837765.005772963</v>
      </c>
      <c r="E24" s="27">
        <f t="shared" si="3"/>
        <v>20052124.379206464</v>
      </c>
      <c r="F24" s="27">
        <f t="shared" si="3"/>
        <v>17288937.631479099</v>
      </c>
      <c r="G24" s="27">
        <f t="shared" si="3"/>
        <v>21309779.521499608</v>
      </c>
      <c r="H24" s="27">
        <f t="shared" si="3"/>
        <v>23966356.09897634</v>
      </c>
      <c r="I24" s="27">
        <f t="shared" si="3"/>
        <v>214630499.04325438</v>
      </c>
    </row>
    <row r="25" spans="1:11" ht="15.5" thickTop="1" thickBot="1" x14ac:dyDescent="0.4">
      <c r="A25" s="30"/>
      <c r="B25" s="31"/>
      <c r="C25" s="31"/>
      <c r="D25" s="31"/>
      <c r="E25" s="31"/>
      <c r="F25" s="31"/>
      <c r="G25" s="31"/>
      <c r="H25" s="31"/>
      <c r="I25" s="31"/>
    </row>
    <row r="26" spans="1:11" ht="15" thickBot="1" x14ac:dyDescent="0.4">
      <c r="A26" s="26" t="s">
        <v>672</v>
      </c>
      <c r="B26" s="27">
        <f t="shared" ref="B26:I26" si="4">B24+B13</f>
        <v>-164627203.05932337</v>
      </c>
      <c r="C26" s="27">
        <f t="shared" si="4"/>
        <v>33874521.86012473</v>
      </c>
      <c r="D26" s="27">
        <f t="shared" si="4"/>
        <v>44837765.005772963</v>
      </c>
      <c r="E26" s="27">
        <f t="shared" si="4"/>
        <v>17938712.779206462</v>
      </c>
      <c r="F26" s="27">
        <f t="shared" si="4"/>
        <v>17288937.631479099</v>
      </c>
      <c r="G26" s="27">
        <f t="shared" si="4"/>
        <v>21309779.521499608</v>
      </c>
      <c r="H26" s="27">
        <f t="shared" si="4"/>
        <v>23966356.09897634</v>
      </c>
      <c r="I26" s="27">
        <f t="shared" si="4"/>
        <v>-5411130.1622641683</v>
      </c>
    </row>
    <row r="27" spans="1:11" ht="15" thickTop="1" x14ac:dyDescent="0.35">
      <c r="A27" s="28"/>
      <c r="B27" s="29"/>
      <c r="C27" s="29"/>
      <c r="D27" s="29"/>
      <c r="E27" s="29"/>
      <c r="F27" s="29"/>
      <c r="G27" s="29"/>
      <c r="H27" s="29"/>
      <c r="I27" s="29"/>
    </row>
    <row r="28" spans="1:11" x14ac:dyDescent="0.35">
      <c r="A28" s="22" t="s">
        <v>426</v>
      </c>
      <c r="B28" s="23"/>
      <c r="C28" s="23"/>
      <c r="D28" s="23"/>
      <c r="E28" s="23"/>
      <c r="F28" s="23"/>
      <c r="G28" s="23"/>
      <c r="H28" s="23">
        <f>'TECHNICAL SERVICES'!K85</f>
        <v>-33628000</v>
      </c>
      <c r="I28" s="23">
        <f>SUM(B28:H28)</f>
        <v>-33628000</v>
      </c>
    </row>
    <row r="29" spans="1:11" ht="15" thickBot="1" x14ac:dyDescent="0.4">
      <c r="A29" s="24"/>
      <c r="B29" s="25"/>
      <c r="C29" s="25"/>
      <c r="D29" s="25"/>
      <c r="E29" s="25"/>
      <c r="F29" s="25"/>
      <c r="G29" s="25"/>
      <c r="H29" s="25"/>
      <c r="I29" s="25"/>
    </row>
    <row r="30" spans="1:11" ht="15.5" thickTop="1" thickBot="1" x14ac:dyDescent="0.4">
      <c r="A30" s="32" t="s">
        <v>425</v>
      </c>
      <c r="B30" s="33">
        <f>B26+B28</f>
        <v>-164627203.05932337</v>
      </c>
      <c r="C30" s="33">
        <f t="shared" ref="C30:I30" si="5">C26+C28</f>
        <v>33874521.86012473</v>
      </c>
      <c r="D30" s="33">
        <f t="shared" si="5"/>
        <v>44837765.005772963</v>
      </c>
      <c r="E30" s="33">
        <f t="shared" si="5"/>
        <v>17938712.779206462</v>
      </c>
      <c r="F30" s="33">
        <f t="shared" si="5"/>
        <v>17288937.631479099</v>
      </c>
      <c r="G30" s="33">
        <f>G26+G28</f>
        <v>21309779.521499608</v>
      </c>
      <c r="H30" s="33">
        <f t="shared" si="5"/>
        <v>-9661643.9010236599</v>
      </c>
      <c r="I30" s="33">
        <f t="shared" si="5"/>
        <v>-39039130.162264168</v>
      </c>
    </row>
    <row r="31" spans="1:11" ht="15" thickTop="1" x14ac:dyDescent="0.35"/>
    <row r="32" spans="1:11" x14ac:dyDescent="0.35">
      <c r="I32" s="44"/>
    </row>
    <row r="33" spans="9:9" x14ac:dyDescent="0.35">
      <c r="I33" s="44"/>
    </row>
    <row r="34" spans="9:9" x14ac:dyDescent="0.35">
      <c r="I34" s="44"/>
    </row>
    <row r="35" spans="9:9" x14ac:dyDescent="0.35">
      <c r="I35" s="43"/>
    </row>
    <row r="39" spans="9:9" x14ac:dyDescent="0.35">
      <c r="I39" s="44"/>
    </row>
    <row r="41" spans="9:9" x14ac:dyDescent="0.35">
      <c r="I41" s="43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20</vt:i4>
      </vt:variant>
    </vt:vector>
  </HeadingPairs>
  <TitlesOfParts>
    <vt:vector size="32" baseType="lpstr">
      <vt:lpstr>FINANCE</vt:lpstr>
      <vt:lpstr>MUNICIPAL MANAGER</vt:lpstr>
      <vt:lpstr>COMMUNITY SERVICES</vt:lpstr>
      <vt:lpstr>OPEX WHOLE M</vt:lpstr>
      <vt:lpstr>CORPORATE SERVICES</vt:lpstr>
      <vt:lpstr>EXECUTIVE COUNCIL</vt:lpstr>
      <vt:lpstr>Sheet1</vt:lpstr>
      <vt:lpstr>EDP</vt:lpstr>
      <vt:lpstr>TECHNICAL SERVICES</vt:lpstr>
      <vt:lpstr>2020 2021 ADJU BUDGET SUMMARY</vt:lpstr>
      <vt:lpstr>2021 2022  OUTER ONE SUMMARY</vt:lpstr>
      <vt:lpstr>2022 2023 OUTER TWO SUMMARY</vt:lpstr>
      <vt:lpstr>'2020 2021 ADJU BUDGET SUMMARY'!Print_Area</vt:lpstr>
      <vt:lpstr>'2021 2022  OUTER ONE SUMMARY'!Print_Area</vt:lpstr>
      <vt:lpstr>'2022 2023 OUTER TWO SUMMARY'!Print_Area</vt:lpstr>
      <vt:lpstr>'COMMUNITY SERVICES'!Print_Area</vt:lpstr>
      <vt:lpstr>'CORPORATE SERVICES'!Print_Area</vt:lpstr>
      <vt:lpstr>EDP!Print_Area</vt:lpstr>
      <vt:lpstr>'EXECUTIVE COUNCIL'!Print_Area</vt:lpstr>
      <vt:lpstr>FINANCE!Print_Area</vt:lpstr>
      <vt:lpstr>'MUNICIPAL MANAGER'!Print_Area</vt:lpstr>
      <vt:lpstr>'TECHNICAL SERVICES'!Print_Area</vt:lpstr>
      <vt:lpstr>'2020 2021 ADJU BUDGET SUMMARY'!Print_Titles</vt:lpstr>
      <vt:lpstr>'2021 2022  OUTER ONE SUMMARY'!Print_Titles</vt:lpstr>
      <vt:lpstr>'2022 2023 OUTER TWO SUMMARY'!Print_Titles</vt:lpstr>
      <vt:lpstr>'COMMUNITY SERVICES'!Print_Titles</vt:lpstr>
      <vt:lpstr>'CORPORATE SERVICES'!Print_Titles</vt:lpstr>
      <vt:lpstr>EDP!Print_Titles</vt:lpstr>
      <vt:lpstr>'EXECUTIVE COUNCIL'!Print_Titles</vt:lpstr>
      <vt:lpstr>FINANCE!Print_Titles</vt:lpstr>
      <vt:lpstr>'MUNICIPAL MANAGER'!Print_Titles</vt:lpstr>
      <vt:lpstr>'TECHNICAL SERVICES'!Print_Titles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Sbonelo Ngidi</dc:creator>
  <cp:lastModifiedBy>Sbonelo Ngidi</cp:lastModifiedBy>
  <cp:lastPrinted>2021-02-25T06:56:18Z</cp:lastPrinted>
  <dcterms:created xsi:type="dcterms:W3CDTF">2019-02-07T06:32:22Z</dcterms:created>
  <dcterms:modified xsi:type="dcterms:W3CDTF">2021-02-26T14:15:28Z</dcterms:modified>
</cp:coreProperties>
</file>